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Pool\International\AAE\2021 ECA\3_Budget\"/>
    </mc:Choice>
  </mc:AlternateContent>
  <bookViews>
    <workbookView xWindow="0" yWindow="0" windowWidth="28800" windowHeight="13635" tabRatio="716"/>
  </bookViews>
  <sheets>
    <sheet name="OVERVIEW_Budget" sheetId="19" r:id="rId1"/>
    <sheet name="EXP_Total Expenses" sheetId="20" r:id="rId2"/>
    <sheet name="REV_Fees" sheetId="8" r:id="rId3"/>
    <sheet name="REV_Sponsoring" sheetId="17" r:id="rId4"/>
    <sheet name="MISC_Congress_Schedule" sheetId="4" r:id="rId5"/>
  </sheets>
  <definedNames>
    <definedName name="_xlnm.Print_Area" localSheetId="1">'EXP_Total Expenses'!$C$1:$K$109</definedName>
    <definedName name="_xlnm.Print_Area" localSheetId="4">MISC_Congress_Schedule!$A$1:$L$35</definedName>
    <definedName name="_xlnm.Print_Area" localSheetId="0">OVERVIEW_Budget!$B$1:$E$29</definedName>
    <definedName name="_xlnm.Print_Area" localSheetId="2">REV_Fees!$N$1:$V$22</definedName>
    <definedName name="_xlnm.Print_Area" localSheetId="3">REV_Sponsoring!$A$2:$L$26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1" i="8" l="1"/>
  <c r="G83" i="20" l="1"/>
  <c r="G82" i="20"/>
  <c r="G81" i="20"/>
  <c r="N5" i="17" l="1"/>
  <c r="K28" i="20" l="1"/>
  <c r="G30" i="20" l="1"/>
  <c r="E30" i="20"/>
  <c r="G107" i="20" l="1"/>
  <c r="J107" i="20" l="1"/>
  <c r="H107" i="20"/>
  <c r="J86" i="20"/>
  <c r="H86" i="20"/>
  <c r="J74" i="20"/>
  <c r="H74" i="20"/>
  <c r="J67" i="20"/>
  <c r="H67" i="20"/>
  <c r="I67" i="20"/>
  <c r="G67" i="20"/>
  <c r="J59" i="20"/>
  <c r="I59" i="20"/>
  <c r="H59" i="20"/>
  <c r="G59" i="20"/>
  <c r="G51" i="20"/>
  <c r="H51" i="20"/>
  <c r="I51" i="20"/>
  <c r="J51" i="20"/>
  <c r="J24" i="20"/>
  <c r="H24" i="20"/>
  <c r="AA7" i="8"/>
  <c r="AA8" i="8"/>
  <c r="AA9" i="8"/>
  <c r="AA6" i="8"/>
  <c r="U7" i="8" l="1"/>
  <c r="Q7" i="8"/>
  <c r="G42" i="20" l="1"/>
  <c r="I40" i="20"/>
  <c r="G96" i="20"/>
  <c r="G97" i="20"/>
  <c r="E97" i="20"/>
  <c r="G54" i="20" l="1"/>
  <c r="K19" i="20"/>
  <c r="K17" i="20"/>
  <c r="E89" i="20" l="1"/>
  <c r="I65" i="20"/>
  <c r="G71" i="20"/>
  <c r="G70" i="20"/>
  <c r="G74" i="20" s="1"/>
  <c r="K96" i="20"/>
  <c r="G89" i="20"/>
  <c r="E31" i="20" l="1"/>
  <c r="G23" i="20"/>
  <c r="E28" i="20"/>
  <c r="E16" i="20"/>
  <c r="G99" i="20"/>
  <c r="G95" i="20"/>
  <c r="K30" i="20"/>
  <c r="G29" i="20"/>
  <c r="E29" i="20" l="1"/>
  <c r="E21" i="20"/>
  <c r="G37" i="20" l="1"/>
  <c r="G77" i="20"/>
  <c r="I89" i="20" l="1"/>
  <c r="I41" i="20" l="1"/>
  <c r="T9" i="8" l="1"/>
  <c r="P9" i="8"/>
  <c r="G64" i="20"/>
  <c r="G32" i="20"/>
  <c r="G31" i="20"/>
  <c r="O19" i="20"/>
  <c r="O16" i="20"/>
  <c r="O15" i="20"/>
  <c r="O14" i="20"/>
  <c r="O13" i="20"/>
  <c r="O12" i="20"/>
  <c r="O11" i="20"/>
  <c r="G62" i="20" l="1"/>
  <c r="G63" i="20"/>
  <c r="E79" i="20" l="1"/>
  <c r="G79" i="20" s="1"/>
  <c r="G86" i="20" s="1"/>
  <c r="I45" i="20"/>
  <c r="I8" i="17"/>
  <c r="L4" i="17"/>
  <c r="K4" i="17"/>
  <c r="U14" i="8" l="1"/>
  <c r="Q14" i="8" s="1"/>
  <c r="V9" i="8"/>
  <c r="R9" i="8"/>
  <c r="I99" i="20" l="1"/>
  <c r="Q15" i="8" l="1"/>
  <c r="Q16" i="8" s="1"/>
  <c r="J3" i="20" l="1"/>
  <c r="F20" i="20"/>
  <c r="E20" i="20" s="1"/>
  <c r="I14" i="19"/>
  <c r="G28" i="20" l="1"/>
  <c r="G34" i="20" s="1"/>
  <c r="F21" i="20"/>
  <c r="G21" i="20" s="1"/>
  <c r="R3" i="20"/>
  <c r="R18" i="20" s="1"/>
  <c r="G13" i="20"/>
  <c r="G15" i="20"/>
  <c r="G14" i="20"/>
  <c r="G12" i="20"/>
  <c r="G16" i="20"/>
  <c r="F19" i="20"/>
  <c r="G19" i="20" s="1"/>
  <c r="I19" i="20" s="1"/>
  <c r="G20" i="20"/>
  <c r="O21" i="20"/>
  <c r="R21" i="20" s="1"/>
  <c r="Q3" i="20"/>
  <c r="F18" i="20"/>
  <c r="G18" i="20" s="1"/>
  <c r="F17" i="20"/>
  <c r="G17" i="20" s="1"/>
  <c r="R19" i="20" l="1"/>
  <c r="R16" i="20"/>
  <c r="S3" i="20"/>
  <c r="S18" i="20" s="1"/>
  <c r="Q19" i="20"/>
  <c r="Q16" i="20"/>
  <c r="Q18" i="20"/>
  <c r="Q21" i="20"/>
  <c r="I16" i="20"/>
  <c r="S19" i="20" l="1"/>
  <c r="S21" i="20"/>
  <c r="S16" i="20"/>
  <c r="L79" i="20"/>
  <c r="I32" i="20"/>
  <c r="I105" i="20" l="1"/>
  <c r="Q2" i="8" l="1"/>
  <c r="I81" i="20" l="1"/>
  <c r="I82" i="20"/>
  <c r="I83" i="20"/>
  <c r="I84" i="20"/>
  <c r="I49" i="20"/>
  <c r="R6" i="8" l="1"/>
  <c r="R7" i="8"/>
  <c r="R8" i="8"/>
  <c r="R5" i="8"/>
  <c r="R11" i="8" l="1"/>
  <c r="R12" i="8"/>
  <c r="E4" i="19"/>
  <c r="I21" i="20" l="1"/>
  <c r="G56" i="20" l="1"/>
  <c r="G55" i="20"/>
  <c r="I56" i="20" l="1"/>
  <c r="I55" i="20"/>
  <c r="I78" i="20"/>
  <c r="G66" i="20" l="1"/>
  <c r="G58" i="20"/>
  <c r="G11" i="20"/>
  <c r="G24" i="20" s="1"/>
  <c r="C16" i="19" l="1"/>
  <c r="I97" i="20"/>
  <c r="P6" i="8"/>
  <c r="P7" i="8"/>
  <c r="P8" i="8"/>
  <c r="P5" i="8"/>
  <c r="T8" i="8"/>
  <c r="T5" i="8"/>
  <c r="I92" i="20"/>
  <c r="I39" i="20" l="1"/>
  <c r="K25" i="20" l="1"/>
  <c r="K26" i="20"/>
  <c r="K27" i="20"/>
  <c r="K29" i="20"/>
  <c r="K33" i="20"/>
  <c r="K35" i="20"/>
  <c r="K36" i="20"/>
  <c r="K37" i="20"/>
  <c r="K38" i="20"/>
  <c r="K41" i="20"/>
  <c r="K43" i="20"/>
  <c r="K44" i="20"/>
  <c r="K46" i="20"/>
  <c r="K48" i="20"/>
  <c r="K50" i="20"/>
  <c r="K52" i="20"/>
  <c r="K53" i="20"/>
  <c r="K57" i="20"/>
  <c r="K58" i="20"/>
  <c r="K60" i="20"/>
  <c r="K61" i="20"/>
  <c r="K68" i="20"/>
  <c r="K69" i="20"/>
  <c r="K72" i="20"/>
  <c r="K73" i="20"/>
  <c r="K75" i="20"/>
  <c r="K76" i="20"/>
  <c r="K80" i="20"/>
  <c r="K85" i="20"/>
  <c r="K87" i="20"/>
  <c r="K88" i="20"/>
  <c r="K90" i="20"/>
  <c r="K91" i="20"/>
  <c r="K94" i="20"/>
  <c r="K98" i="20"/>
  <c r="K101" i="20"/>
  <c r="K102" i="20"/>
  <c r="K103" i="20"/>
  <c r="K104" i="20"/>
  <c r="K108" i="20"/>
  <c r="C24" i="19"/>
  <c r="K79" i="20"/>
  <c r="C25" i="19"/>
  <c r="H85" i="20"/>
  <c r="I85" i="20" s="1"/>
  <c r="I79" i="20"/>
  <c r="I86" i="20" s="1"/>
  <c r="I90" i="20"/>
  <c r="I91" i="20"/>
  <c r="I93" i="20"/>
  <c r="I103" i="20"/>
  <c r="K59" i="20" l="1"/>
  <c r="C22" i="19"/>
  <c r="K74" i="20"/>
  <c r="K93" i="20"/>
  <c r="K86" i="20"/>
  <c r="K77" i="20"/>
  <c r="I80" i="20"/>
  <c r="I77" i="20" l="1"/>
  <c r="E25" i="19" s="1"/>
  <c r="D25" i="19"/>
  <c r="I31" i="20" l="1"/>
  <c r="I64" i="20"/>
  <c r="I30" i="20"/>
  <c r="I104" i="20"/>
  <c r="I102" i="20"/>
  <c r="I73" i="20"/>
  <c r="I72" i="20"/>
  <c r="I71" i="20"/>
  <c r="I63" i="20"/>
  <c r="I58" i="20"/>
  <c r="I57" i="20"/>
  <c r="I47" i="20"/>
  <c r="I48" i="20"/>
  <c r="I46" i="20"/>
  <c r="I38" i="20"/>
  <c r="I37" i="20"/>
  <c r="G109" i="20"/>
  <c r="I29" i="20"/>
  <c r="K15" i="20"/>
  <c r="K11" i="20"/>
  <c r="C21" i="19"/>
  <c r="C20" i="19"/>
  <c r="Q23" i="20"/>
  <c r="S23" i="20"/>
  <c r="R23" i="20"/>
  <c r="S15" i="20"/>
  <c r="R15" i="20"/>
  <c r="Q15" i="20"/>
  <c r="S14" i="20"/>
  <c r="R14" i="20"/>
  <c r="Q14" i="20"/>
  <c r="S13" i="20"/>
  <c r="R13" i="20"/>
  <c r="Q13" i="20"/>
  <c r="S12" i="20"/>
  <c r="R12" i="20"/>
  <c r="Q12" i="20"/>
  <c r="S11" i="20"/>
  <c r="R11" i="20"/>
  <c r="Q11" i="20"/>
  <c r="I101" i="20" l="1"/>
  <c r="I107" i="20" s="1"/>
  <c r="C19" i="19"/>
  <c r="I54" i="20"/>
  <c r="E22" i="19" s="1"/>
  <c r="D22" i="19"/>
  <c r="H34" i="20"/>
  <c r="D19" i="19" s="1"/>
  <c r="I66" i="20"/>
  <c r="K66" i="20"/>
  <c r="I95" i="20"/>
  <c r="C26" i="19"/>
  <c r="K51" i="20"/>
  <c r="I70" i="20"/>
  <c r="D24" i="19"/>
  <c r="I62" i="20"/>
  <c r="I96" i="20"/>
  <c r="I22" i="20"/>
  <c r="K22" i="20"/>
  <c r="I12" i="20"/>
  <c r="I17" i="20"/>
  <c r="I18" i="20"/>
  <c r="I14" i="20"/>
  <c r="K14" i="20"/>
  <c r="I28" i="20"/>
  <c r="I34" i="20" s="1"/>
  <c r="E19" i="19" s="1"/>
  <c r="I20" i="20"/>
  <c r="I13" i="20"/>
  <c r="C23" i="19"/>
  <c r="I11" i="20"/>
  <c r="I15" i="20"/>
  <c r="E21" i="19"/>
  <c r="D21" i="19"/>
  <c r="I42" i="20"/>
  <c r="E20" i="19" s="1"/>
  <c r="H42" i="20"/>
  <c r="D20" i="19" s="1"/>
  <c r="S26" i="20"/>
  <c r="R26" i="20"/>
  <c r="Q26" i="20"/>
  <c r="J34" i="20"/>
  <c r="J42" i="20"/>
  <c r="K42" i="20" s="1"/>
  <c r="V8" i="8"/>
  <c r="V5" i="8"/>
  <c r="I74" i="20" l="1"/>
  <c r="E24" i="19" s="1"/>
  <c r="I24" i="20"/>
  <c r="E26" i="19"/>
  <c r="G116" i="20"/>
  <c r="C27" i="19"/>
  <c r="E23" i="19"/>
  <c r="K67" i="20"/>
  <c r="D26" i="19"/>
  <c r="K107" i="20"/>
  <c r="D23" i="19"/>
  <c r="L8" i="17"/>
  <c r="I7" i="17"/>
  <c r="C11" i="19" s="1"/>
  <c r="F9" i="17"/>
  <c r="K10" i="17" s="1"/>
  <c r="I109" i="20" l="1"/>
  <c r="E16" i="19"/>
  <c r="E27" i="19" s="1"/>
  <c r="D11" i="19"/>
  <c r="E11" i="19" s="1"/>
  <c r="H109" i="20"/>
  <c r="H116" i="20" s="1"/>
  <c r="D16" i="19"/>
  <c r="D27" i="19" s="1"/>
  <c r="J10" i="17"/>
  <c r="L10" i="17"/>
  <c r="V7" i="8" l="1"/>
  <c r="T7" i="8"/>
  <c r="T6" i="8"/>
  <c r="V6" i="8"/>
  <c r="J109" i="20"/>
  <c r="K109" i="20" s="1"/>
  <c r="K24" i="20"/>
  <c r="R14" i="8"/>
  <c r="V12" i="8" l="1"/>
  <c r="V11" i="8"/>
  <c r="I8" i="8"/>
  <c r="K8" i="8"/>
  <c r="J8" i="8"/>
  <c r="E6" i="8" l="1"/>
  <c r="E7" i="8" l="1"/>
  <c r="F7" i="8" s="1"/>
  <c r="F8" i="8" s="1"/>
  <c r="F6" i="8"/>
  <c r="V14" i="8" l="1"/>
  <c r="V16" i="8" s="1"/>
  <c r="C10" i="19" s="1"/>
  <c r="D10" i="19" l="1"/>
  <c r="C12" i="19"/>
  <c r="V17" i="8"/>
  <c r="C29" i="19" l="1"/>
  <c r="C31" i="19" s="1"/>
  <c r="E10" i="19"/>
  <c r="E12" i="19" s="1"/>
  <c r="D12" i="19"/>
  <c r="C32" i="19" l="1"/>
  <c r="D29" i="19"/>
  <c r="E29" i="19" l="1"/>
  <c r="D31" i="19"/>
  <c r="D32" i="19" s="1"/>
</calcChain>
</file>

<file path=xl/comments1.xml><?xml version="1.0" encoding="utf-8"?>
<comments xmlns="http://schemas.openxmlformats.org/spreadsheetml/2006/main">
  <authors>
    <author>Helene Freund</author>
  </authors>
  <commentList>
    <comment ref="D97" authorId="0" shapeId="0">
      <text>
        <r>
          <rPr>
            <b/>
            <sz val="9"/>
            <color indexed="81"/>
            <rFont val="Segoe UI"/>
            <family val="2"/>
          </rPr>
          <t>Helene Freund:</t>
        </r>
        <r>
          <rPr>
            <sz val="9"/>
            <color indexed="81"/>
            <rFont val="Segoe UI"/>
            <family val="2"/>
          </rPr>
          <t xml:space="preserve">
ME inkl. MS, BK, SK
AE inkl. MS, BK, SK
Aufbautag
Techniker alle Tage</t>
        </r>
      </text>
    </comment>
  </commentList>
</comments>
</file>

<file path=xl/sharedStrings.xml><?xml version="1.0" encoding="utf-8"?>
<sst xmlns="http://schemas.openxmlformats.org/spreadsheetml/2006/main" count="434" uniqueCount="261">
  <si>
    <t>Lunch</t>
  </si>
  <si>
    <t>Subtotal</t>
  </si>
  <si>
    <t>Total</t>
  </si>
  <si>
    <t>1st Day</t>
  </si>
  <si>
    <t>2nd Day</t>
  </si>
  <si>
    <t>Guest Speaker 1</t>
  </si>
  <si>
    <t>Guest Speaker 2</t>
  </si>
  <si>
    <t>Guest Speaker 3</t>
  </si>
  <si>
    <t>Guest Speaker 4</t>
  </si>
  <si>
    <t>Main Room</t>
  </si>
  <si>
    <t>Breakout 1</t>
  </si>
  <si>
    <t>Breakout 2</t>
  </si>
  <si>
    <t>Breakout session</t>
  </si>
  <si>
    <t>Coffee break</t>
  </si>
  <si>
    <t>Social Program</t>
  </si>
  <si>
    <t>Other actuaries</t>
  </si>
  <si>
    <t>Until 28/02/2018</t>
  </si>
  <si>
    <t>Until 15/04/2019</t>
  </si>
  <si>
    <t>Until 03/05/2019</t>
  </si>
  <si>
    <t xml:space="preserve">Authors presenting papers </t>
  </si>
  <si>
    <t>Dinner</t>
  </si>
  <si>
    <t>Photographer</t>
  </si>
  <si>
    <t>Video coverage</t>
  </si>
  <si>
    <t>Insurance cover</t>
  </si>
  <si>
    <t>550,00 € until 10 days after paper acceptance</t>
  </si>
  <si>
    <t>625,00 € after 10 days acceptance until 03/05/2019</t>
  </si>
  <si>
    <t>Gold</t>
  </si>
  <si>
    <t>Silver</t>
  </si>
  <si>
    <t>Bronze</t>
  </si>
  <si>
    <t xml:space="preserve">Academics </t>
  </si>
  <si>
    <t>or</t>
  </si>
  <si>
    <t>Normal Price (NP)</t>
  </si>
  <si>
    <t xml:space="preserve">NP-75€ </t>
  </si>
  <si>
    <t>Subtract 75€ to NP until 10 days after paper acceptance</t>
  </si>
  <si>
    <t>Limit to number of sponsors in this level</t>
  </si>
  <si>
    <t>Registrations included</t>
  </si>
  <si>
    <t>-</t>
  </si>
  <si>
    <t>Participants</t>
  </si>
  <si>
    <t>Price</t>
  </si>
  <si>
    <t xml:space="preserve">Closing session </t>
  </si>
  <si>
    <t xml:space="preserve">NP+75€ </t>
  </si>
  <si>
    <t>* members of the same group of companies in the same country will also be considered as one company</t>
  </si>
  <si>
    <t>total income:</t>
  </si>
  <si>
    <t>Reimbursement Policy</t>
  </si>
  <si>
    <t>No reimbursement</t>
  </si>
  <si>
    <t>participants</t>
  </si>
  <si>
    <t>Schedule should be adjusted according to the speakers we finally have</t>
  </si>
  <si>
    <t>Sponsoring ECA 2019</t>
  </si>
  <si>
    <t>MAIN</t>
  </si>
  <si>
    <t>Category</t>
  </si>
  <si>
    <t>unlimited</t>
  </si>
  <si>
    <t xml:space="preserve"> -</t>
  </si>
  <si>
    <t>Sponsor tables on gala dinner with reserved seats</t>
  </si>
  <si>
    <t>GENERAL BENEFITS</t>
  </si>
  <si>
    <t xml:space="preserve">Priority seating at a reserved place during plenary sessions </t>
  </si>
  <si>
    <t>ANNOUNCEMENTS</t>
  </si>
  <si>
    <t>1</t>
  </si>
  <si>
    <t>Displaying of sponsor logo on the ECA main website (incl. link to company´s website)</t>
  </si>
  <si>
    <t>ON-SITE AWARENESS</t>
  </si>
  <si>
    <r>
      <rPr>
        <i/>
        <sz val="12"/>
        <color theme="1"/>
        <rFont val="Calibri"/>
        <family val="2"/>
        <scheme val="minor"/>
      </rPr>
      <t>ECA 2019 Wall of Support</t>
    </r>
    <r>
      <rPr>
        <sz val="12"/>
        <color theme="1"/>
        <rFont val="Calibri"/>
        <family val="2"/>
        <scheme val="minor"/>
      </rPr>
      <t>displaying all sponsoring logos in central place of the congress venua</t>
    </r>
  </si>
  <si>
    <t>Recognition as sponsor in opening speech</t>
  </si>
  <si>
    <t>Recognition as sponsor with logo in congress program</t>
  </si>
  <si>
    <t xml:space="preserve">Recognition as sponsor on other relevant opportunities in the congress venue (ECA roll ups, etc.) </t>
  </si>
  <si>
    <t>1 choice each</t>
  </si>
  <si>
    <t>2.500 € / break</t>
  </si>
  <si>
    <t>ADDITIONAL ITEMS</t>
  </si>
  <si>
    <t>Cost per benefit</t>
  </si>
  <si>
    <t>Exhibition stand* (limited to an overall maximum of 6)</t>
  </si>
  <si>
    <t>Measurable value</t>
  </si>
  <si>
    <t>*to be furnished by the sponsor</t>
  </si>
  <si>
    <t xml:space="preserve">Additional options ("Supported by…"; displaying logo on):
- gala dinner
- mobile app 
- congress bag &amp; name tag lanyards  </t>
  </si>
  <si>
    <t>Displaying of sponsor logo in the ECA newsletter (incl. link to company´s website)</t>
  </si>
  <si>
    <t>Revenues</t>
  </si>
  <si>
    <t>Number</t>
  </si>
  <si>
    <t xml:space="preserve">Estimated </t>
  </si>
  <si>
    <t>Total estimated</t>
  </si>
  <si>
    <t>Total actual</t>
  </si>
  <si>
    <t>Actual</t>
  </si>
  <si>
    <t>Displaying of sponsor logo in other related announcements before ECA 2019 (Call for Papers,…)</t>
  </si>
  <si>
    <t>AAE officials</t>
  </si>
  <si>
    <t xml:space="preserve">Cost invoicing </t>
  </si>
  <si>
    <t>speaker have to register four weeks after acceptance</t>
  </si>
  <si>
    <t>REVENUES</t>
  </si>
  <si>
    <t>Income Fees Participants</t>
  </si>
  <si>
    <r>
      <t xml:space="preserve">Members of AAE Board, Nomination Comm., </t>
    </r>
    <r>
      <rPr>
        <sz val="11"/>
        <color rgb="FFFF0000"/>
        <rFont val="Calibri"/>
        <family val="2"/>
        <scheme val="minor"/>
      </rPr>
      <t>and Commitees</t>
    </r>
  </si>
  <si>
    <r>
      <t xml:space="preserve">Members of AAE Board </t>
    </r>
    <r>
      <rPr>
        <sz val="11"/>
        <color rgb="FFFF0000"/>
        <rFont val="Calibri"/>
        <family val="2"/>
        <scheme val="minor"/>
      </rPr>
      <t>and 2 members per FMA</t>
    </r>
  </si>
  <si>
    <t>FEEs ECA 2018 / Participant structure</t>
  </si>
  <si>
    <t xml:space="preserve">Share </t>
  </si>
  <si>
    <t>VAT=</t>
  </si>
  <si>
    <t>average price p.p.</t>
  </si>
  <si>
    <t>EXPENSES</t>
  </si>
  <si>
    <t>Gala Dinner</t>
  </si>
  <si>
    <t>General Day Fee Hotel (2 days)</t>
  </si>
  <si>
    <t>Count</t>
  </si>
  <si>
    <t xml:space="preserve">Coffee Breaks </t>
  </si>
  <si>
    <t>Congress Bag &amp; Content</t>
  </si>
  <si>
    <t>Sponsored Specialties Lunch</t>
  </si>
  <si>
    <t>Sponsored Specialties Coffee</t>
  </si>
  <si>
    <t>Variable Costs Participants</t>
  </si>
  <si>
    <t xml:space="preserve">Fixed Costs </t>
  </si>
  <si>
    <t>Hotel</t>
  </si>
  <si>
    <t>Marketing</t>
  </si>
  <si>
    <t>Congress Program</t>
  </si>
  <si>
    <t xml:space="preserve">Organisation and Misc </t>
  </si>
  <si>
    <t>General registration and website</t>
  </si>
  <si>
    <t>Meeting rooms</t>
  </si>
  <si>
    <t>Exhibition area</t>
  </si>
  <si>
    <t>Congress Design</t>
  </si>
  <si>
    <t>Roll ups, Signage, etc.</t>
  </si>
  <si>
    <t>Bus shuttle</t>
  </si>
  <si>
    <t>Invited guests</t>
  </si>
  <si>
    <t>Costcode</t>
  </si>
  <si>
    <t>Position</t>
  </si>
  <si>
    <t>Single Price</t>
  </si>
  <si>
    <t>Variable Costs Participants - Comparison</t>
  </si>
  <si>
    <t>EAA administration fee</t>
  </si>
  <si>
    <t>Other costs</t>
  </si>
  <si>
    <t>Dinner Organizers Day 0</t>
  </si>
  <si>
    <t>Invited Speaker Travel</t>
  </si>
  <si>
    <t>Invited Speaker Accomodation</t>
  </si>
  <si>
    <t>On-site staff - Travel</t>
  </si>
  <si>
    <t>PPT-/Word-Master</t>
  </si>
  <si>
    <t>Legal costs</t>
  </si>
  <si>
    <t>Organizing Committee Meeting Costs</t>
  </si>
  <si>
    <t>Sponsoring</t>
  </si>
  <si>
    <t>Free registrations</t>
  </si>
  <si>
    <t>Comments</t>
  </si>
  <si>
    <t>Budget exceeded?</t>
  </si>
  <si>
    <t>Participants estimated</t>
  </si>
  <si>
    <t>Fixed Costs</t>
  </si>
  <si>
    <t>Congress Result</t>
  </si>
  <si>
    <t>18 authors</t>
  </si>
  <si>
    <t>08:30-09:00</t>
  </si>
  <si>
    <t>09:00-09:30</t>
  </si>
  <si>
    <t>09:30-10:00</t>
  </si>
  <si>
    <t>10:00-10:30</t>
  </si>
  <si>
    <t>10:30-11:00</t>
  </si>
  <si>
    <t>11:00-11:30</t>
  </si>
  <si>
    <t>11:30-12:00</t>
  </si>
  <si>
    <t>12:00-12:30</t>
  </si>
  <si>
    <t>12:30-13:00</t>
  </si>
  <si>
    <t>13:00-13:30</t>
  </si>
  <si>
    <t>13:30-14:00</t>
  </si>
  <si>
    <t>14:00-14:30</t>
  </si>
  <si>
    <t>14:30-15:00</t>
  </si>
  <si>
    <t>15:00-15:30</t>
  </si>
  <si>
    <t>15:30-16:00</t>
  </si>
  <si>
    <t>16:00-16:30</t>
  </si>
  <si>
    <t>16:30-17:00</t>
  </si>
  <si>
    <t>17:00-17:30</t>
  </si>
  <si>
    <t>17:30-18:00</t>
  </si>
  <si>
    <t>18:00-18:30</t>
  </si>
  <si>
    <t>19:00-19:30</t>
  </si>
  <si>
    <t>19h30-22:00</t>
  </si>
  <si>
    <t>18:30-19:00</t>
  </si>
  <si>
    <t>Lunch/coffee break gourmet corner: Sponsoring of local delicacies kiosks that will be available to delegates during breaks (1 per break/overall max. of 6)</t>
  </si>
  <si>
    <t>App</t>
  </si>
  <si>
    <t>Change value on 'Overview Budget</t>
  </si>
  <si>
    <t>Electronic brochure</t>
  </si>
  <si>
    <t>Sponsorship</t>
  </si>
  <si>
    <t>Recognition as sponsor on slides displayed during breaks</t>
  </si>
  <si>
    <t xml:space="preserve">Costs p. P. </t>
  </si>
  <si>
    <t>Lunch Organizers</t>
  </si>
  <si>
    <t>Congress brochure</t>
  </si>
  <si>
    <t>75% reimbursed</t>
  </si>
  <si>
    <t>50% reimbursed</t>
  </si>
  <si>
    <t xml:space="preserve">incl. VAT </t>
  </si>
  <si>
    <t>Welcome</t>
  </si>
  <si>
    <t>Budget</t>
  </si>
  <si>
    <t>Speaker Transfers</t>
  </si>
  <si>
    <t>Transfer Organizer &lt;-&gt; Event Location</t>
  </si>
  <si>
    <t>Sponsor benefits (Stands)</t>
  </si>
  <si>
    <t>Shipping</t>
  </si>
  <si>
    <t>Sponsor benefits (Wall of support, Roll ups, etc. )</t>
  </si>
  <si>
    <r>
      <t>Until</t>
    </r>
    <r>
      <rPr>
        <b/>
        <sz val="11"/>
        <color rgb="FFFF0000"/>
        <rFont val="Calibri"/>
        <family val="2"/>
        <scheme val="minor"/>
      </rPr>
      <t xml:space="preserve"> 03/05</t>
    </r>
    <r>
      <rPr>
        <b/>
        <sz val="11"/>
        <color theme="1"/>
        <rFont val="Calibri"/>
        <family val="2"/>
        <scheme val="minor"/>
      </rPr>
      <t>/2019</t>
    </r>
  </si>
  <si>
    <t>Until 28/02/2019</t>
  </si>
  <si>
    <t>Until 30/05/2019</t>
  </si>
  <si>
    <t>Online marketing</t>
  </si>
  <si>
    <t>"Free" registrations</t>
  </si>
  <si>
    <t>Sponsors</t>
  </si>
  <si>
    <t>Inv Speaker</t>
  </si>
  <si>
    <t>Organizers</t>
  </si>
  <si>
    <t>Free tickets</t>
  </si>
  <si>
    <t xml:space="preserve">Speaker beverages </t>
  </si>
  <si>
    <t>Exhibitors</t>
  </si>
  <si>
    <t>Acc. Persons</t>
  </si>
  <si>
    <t>Welcome coffee (7 June 2019)</t>
  </si>
  <si>
    <t>Final</t>
  </si>
  <si>
    <t>Difference: Final - Budget</t>
  </si>
  <si>
    <t>Acc. Person Program</t>
  </si>
  <si>
    <t>Assistance (staff), Cloak room service</t>
  </si>
  <si>
    <t>Sponsoring Profit Share - Associ. 4</t>
  </si>
  <si>
    <t>Projection</t>
  </si>
  <si>
    <t>Difference: Projection - Budget</t>
  </si>
  <si>
    <t>late registrations</t>
  </si>
  <si>
    <t xml:space="preserve">* same legal entity checked by VAT number. 
Discount will be processed as reimbursement after receiving full price, by the same method we have received payment </t>
  </si>
  <si>
    <t>Pre-Marketing Material</t>
  </si>
  <si>
    <t xml:space="preserve">Guest speaker offers </t>
  </si>
  <si>
    <t>BUDGET ECA 2021</t>
  </si>
  <si>
    <t>IAE share</t>
  </si>
  <si>
    <t>Badge</t>
  </si>
  <si>
    <t>Registration</t>
  </si>
  <si>
    <t xml:space="preserve">Badge/Lanyard </t>
  </si>
  <si>
    <t>Ticket Registration on-site</t>
  </si>
  <si>
    <t>Initial Visit EAA Team</t>
  </si>
  <si>
    <t xml:space="preserve">Basic fee registration tool incl. website </t>
  </si>
  <si>
    <t>Website (for design)</t>
  </si>
  <si>
    <t>Audiovisuals (w/o recording)</t>
  </si>
  <si>
    <t>mixed fee: day, night, 1 add. + 10% VAT</t>
  </si>
  <si>
    <t>incl. 10% VAT</t>
  </si>
  <si>
    <t>for 2 floors (all meeting rooms level Zaragoza); 21% VAT included</t>
  </si>
  <si>
    <t>21% VAT included, here incl. 7450 + 21%VAT for equipment recording/operators/editor, PLUS WLAN</t>
  </si>
  <si>
    <t>Welcome coffee</t>
  </si>
  <si>
    <t>alternative 30.000 incl. 1 hour open bar/26.000 3-course dinner at La Masia de José Luis</t>
  </si>
  <si>
    <t>On-site staff - Accomodation (HW, MO, HF, GS, MoSc)</t>
  </si>
  <si>
    <t xml:space="preserve">On-site staff - Food &amp; Beverage </t>
  </si>
  <si>
    <t>VAT incl.</t>
  </si>
  <si>
    <t>_2019</t>
  </si>
  <si>
    <t>_ 2019</t>
  </si>
  <si>
    <t xml:space="preserve">Bag, pen, pad </t>
  </si>
  <si>
    <t>Lanyard, badge</t>
  </si>
  <si>
    <t>Welcome Event Arrival Day</t>
  </si>
  <si>
    <t xml:space="preserve">WiFi Registration and Recording </t>
  </si>
  <si>
    <t>2 hours - Finger buffet inkl. Red wine, beer, softs/mineral water 41,00 + Open bar 19,50 incl. VAT</t>
  </si>
  <si>
    <t>OVERVIEW EXPENSES ECA 2021</t>
  </si>
  <si>
    <t>Number participants:</t>
  </si>
  <si>
    <t>Regular Tickets</t>
  </si>
  <si>
    <t>EB</t>
  </si>
  <si>
    <t>Normal</t>
  </si>
  <si>
    <t>please put "1" here:</t>
  </si>
  <si>
    <t>Until 28/03/2021</t>
  </si>
  <si>
    <t>Until 30/04/2021</t>
  </si>
  <si>
    <t>After 30/04/2021</t>
  </si>
  <si>
    <t>Registration online (min. 2.500 EUR)</t>
  </si>
  <si>
    <t xml:space="preserve">ggf. + Welcome Event </t>
  </si>
  <si>
    <t>Gala Dinner (Spanish Gala 3 hours/1 hour open bar, 3 musicians, light &amp; sound Rosaleda, cloak room/150 pers.)</t>
  </si>
  <si>
    <t>March 2020</t>
  </si>
  <si>
    <t xml:space="preserve">ECA 20201 regulations signed </t>
  </si>
  <si>
    <t xml:space="preserve">Budget agreed by AAE and EAA, start of sponsoring acquisition, Program Committee is created </t>
  </si>
  <si>
    <t>July 2020</t>
  </si>
  <si>
    <t>Launch website www.eca2021.eu / Increasing marketing activities start: first issues of monthly newsletter, announcement of keynote speakers,…</t>
  </si>
  <si>
    <t>Release of Call for Papers (Deadline 25 October 2020)</t>
  </si>
  <si>
    <r>
      <t>November 2020, 16</t>
    </r>
    <r>
      <rPr>
        <b/>
        <vertAlign val="superscript"/>
        <sz val="11"/>
        <color theme="1"/>
        <rFont val="Calibri"/>
        <family val="2"/>
      </rPr>
      <t>th</t>
    </r>
    <r>
      <rPr>
        <sz val="11"/>
        <color theme="1"/>
        <rFont val="Calibri"/>
        <family val="2"/>
      </rPr>
      <t xml:space="preserve"> </t>
    </r>
  </si>
  <si>
    <t xml:space="preserve">Publication of preliminary congress program </t>
  </si>
  <si>
    <r>
      <t>December 2020, 1</t>
    </r>
    <r>
      <rPr>
        <b/>
        <vertAlign val="superscript"/>
        <sz val="11"/>
        <color theme="1"/>
        <rFont val="Calibri"/>
        <family val="2"/>
      </rPr>
      <t>st</t>
    </r>
    <r>
      <rPr>
        <sz val="11"/>
        <color theme="1"/>
        <rFont val="Calibri"/>
        <family val="2"/>
      </rPr>
      <t xml:space="preserve"> </t>
    </r>
  </si>
  <si>
    <t xml:space="preserve">Start of registration </t>
  </si>
  <si>
    <t xml:space="preserve">End of early-bird </t>
  </si>
  <si>
    <t>ECA 2021, Madrid, Spain</t>
  </si>
  <si>
    <t>OLD BUDGET ECA 2019</t>
  </si>
  <si>
    <t>4th June 2021</t>
  </si>
  <si>
    <t>3rd June 2021</t>
  </si>
  <si>
    <r>
      <t>June 2021, 3</t>
    </r>
    <r>
      <rPr>
        <b/>
        <vertAlign val="superscript"/>
        <sz val="11"/>
        <color theme="1"/>
        <rFont val="Calibri"/>
        <family val="2"/>
      </rPr>
      <t>rd</t>
    </r>
    <r>
      <rPr>
        <b/>
        <sz val="11"/>
        <color theme="1"/>
        <rFont val="Calibri"/>
        <family val="2"/>
      </rPr>
      <t xml:space="preserve"> – 4</t>
    </r>
    <r>
      <rPr>
        <b/>
        <vertAlign val="superscript"/>
        <sz val="11"/>
        <color theme="1"/>
        <rFont val="Calibri"/>
        <family val="2"/>
      </rPr>
      <t>th</t>
    </r>
    <r>
      <rPr>
        <sz val="11"/>
        <color theme="1"/>
        <rFont val="Calibri"/>
        <family val="2"/>
      </rPr>
      <t xml:space="preserve"> </t>
    </r>
  </si>
  <si>
    <r>
      <t>February 2021, 28</t>
    </r>
    <r>
      <rPr>
        <b/>
        <vertAlign val="superscript"/>
        <sz val="11"/>
        <color theme="1"/>
        <rFont val="Calibri"/>
        <family val="2"/>
      </rPr>
      <t>th</t>
    </r>
  </si>
  <si>
    <t>Sponsoring Profit Share - Assoc. 1 - Provision Gold Sponsors</t>
  </si>
  <si>
    <t>Sponsoring Profit Share - Assoc. 2 - Provision Silver Sponsors</t>
  </si>
  <si>
    <t>Sponsoring Profit Share - Assoc. 3 - Provision Bronze Sponsors</t>
  </si>
  <si>
    <t>EAA Share</t>
  </si>
  <si>
    <t>AAE Share</t>
  </si>
  <si>
    <t>Number participants (incl. Sponsors):</t>
  </si>
  <si>
    <r>
      <t xml:space="preserve"> </t>
    </r>
    <r>
      <rPr>
        <sz val="11"/>
        <color rgb="FFFF0000"/>
        <rFont val="Calibri"/>
        <family val="2"/>
        <scheme val="minor"/>
      </rPr>
      <t>erstmal gemäß Planzahlen!</t>
    </r>
  </si>
  <si>
    <t>Control Participants: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</si>
</sst>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#,##0\ &quot;€&quot;;[Red]\-#,##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,##0.00\ &quot;€&quot;"/>
    <numFmt numFmtId="165" formatCode="0.0%"/>
    <numFmt numFmtId="166" formatCode="_-* #,##0\ _€_-;\-* #,##0\ _€_-;_-* &quot;-&quot;??\ _€_-;_-@_-"/>
    <numFmt numFmtId="167" formatCode="#,##0_ ;\-#,##0\ "/>
  </numFmts>
  <fonts count="59" x14ac:knownFonts="1"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i/>
      <sz val="11"/>
      <color theme="2" tint="-0.499984740745262"/>
      <name val="Calibri"/>
      <family val="2"/>
      <scheme val="minor"/>
    </font>
    <font>
      <i/>
      <sz val="12"/>
      <color theme="2" tint="-0.499984740745262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b/>
      <vertAlign val="superscript"/>
      <sz val="11"/>
      <color theme="1"/>
      <name val="Calibri"/>
      <family val="2"/>
    </font>
    <font>
      <b/>
      <i/>
      <sz val="12"/>
      <color rgb="FFFF0000"/>
      <name val="Calibri"/>
      <family val="2"/>
      <scheme val="minor"/>
    </font>
    <font>
      <b/>
      <i/>
      <sz val="12"/>
      <color theme="1" tint="0.34998626667073579"/>
      <name val="Calibri"/>
      <family val="2"/>
      <scheme val="minor"/>
    </font>
    <font>
      <i/>
      <sz val="12"/>
      <color theme="1" tint="0.34998626667073579"/>
      <name val="Calibri"/>
      <family val="2"/>
      <scheme val="minor"/>
    </font>
    <font>
      <b/>
      <i/>
      <sz val="11"/>
      <color theme="1" tint="0.34998626667073579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99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32" fillId="0" borderId="0" applyFont="0" applyFill="0" applyBorder="0" applyAlignment="0" applyProtection="0"/>
    <xf numFmtId="44" fontId="32" fillId="0" borderId="0" applyFont="0" applyFill="0" applyBorder="0" applyAlignment="0" applyProtection="0"/>
    <xf numFmtId="43" fontId="32" fillId="0" borderId="0" applyFont="0" applyFill="0" applyBorder="0" applyAlignment="0" applyProtection="0"/>
  </cellStyleXfs>
  <cellXfs count="484">
    <xf numFmtId="0" fontId="0" fillId="0" borderId="0" xfId="0"/>
    <xf numFmtId="0" fontId="35" fillId="0" borderId="0" xfId="0" applyFont="1" applyAlignment="1">
      <alignment horizontal="left"/>
    </xf>
    <xf numFmtId="0" fontId="35" fillId="0" borderId="0" xfId="0" applyFont="1"/>
    <xf numFmtId="0" fontId="35" fillId="0" borderId="0" xfId="0" applyFont="1" applyAlignment="1">
      <alignment horizontal="center"/>
    </xf>
    <xf numFmtId="0" fontId="36" fillId="0" borderId="29" xfId="0" applyFont="1" applyBorder="1" applyAlignment="1">
      <alignment horizontal="center"/>
    </xf>
    <xf numFmtId="0" fontId="36" fillId="0" borderId="0" xfId="0" applyFont="1" applyBorder="1" applyAlignment="1">
      <alignment horizontal="center"/>
    </xf>
    <xf numFmtId="0" fontId="36" fillId="0" borderId="15" xfId="0" applyFont="1" applyBorder="1" applyAlignment="1">
      <alignment horizontal="center"/>
    </xf>
    <xf numFmtId="0" fontId="35" fillId="0" borderId="1" xfId="0" applyFont="1" applyBorder="1" applyAlignment="1">
      <alignment horizontal="center"/>
    </xf>
    <xf numFmtId="0" fontId="35" fillId="0" borderId="20" xfId="0" applyFont="1" applyBorder="1" applyAlignment="1">
      <alignment horizontal="center"/>
    </xf>
    <xf numFmtId="0" fontId="35" fillId="0" borderId="26" xfId="0" applyFont="1" applyBorder="1" applyAlignment="1">
      <alignment horizontal="left" wrapText="1"/>
    </xf>
    <xf numFmtId="0" fontId="35" fillId="0" borderId="26" xfId="0" applyFont="1" applyFill="1" applyBorder="1" applyAlignment="1">
      <alignment horizontal="left" wrapText="1"/>
    </xf>
    <xf numFmtId="6" fontId="35" fillId="0" borderId="1" xfId="0" applyNumberFormat="1" applyFont="1" applyBorder="1" applyAlignment="1">
      <alignment horizontal="center"/>
    </xf>
    <xf numFmtId="0" fontId="35" fillId="0" borderId="1" xfId="0" applyFont="1" applyFill="1" applyBorder="1" applyAlignment="1">
      <alignment horizontal="center"/>
    </xf>
    <xf numFmtId="0" fontId="35" fillId="0" borderId="1" xfId="0" applyFont="1" applyBorder="1"/>
    <xf numFmtId="0" fontId="35" fillId="0" borderId="24" xfId="0" applyFont="1" applyBorder="1" applyAlignment="1">
      <alignment horizontal="center"/>
    </xf>
    <xf numFmtId="0" fontId="35" fillId="0" borderId="1" xfId="0" applyFont="1" applyBorder="1" applyAlignment="1">
      <alignment horizontal="left" wrapText="1"/>
    </xf>
    <xf numFmtId="0" fontId="35" fillId="0" borderId="1" xfId="0" applyFont="1" applyBorder="1" applyAlignment="1">
      <alignment horizontal="center" wrapText="1"/>
    </xf>
    <xf numFmtId="0" fontId="35" fillId="0" borderId="0" xfId="0" applyFont="1" applyBorder="1"/>
    <xf numFmtId="6" fontId="36" fillId="0" borderId="1" xfId="0" applyNumberFormat="1" applyFont="1" applyBorder="1" applyAlignment="1">
      <alignment horizontal="center" vertical="center"/>
    </xf>
    <xf numFmtId="6" fontId="36" fillId="2" borderId="1" xfId="0" applyNumberFormat="1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/>
    </xf>
    <xf numFmtId="0" fontId="35" fillId="2" borderId="1" xfId="0" applyFont="1" applyFill="1" applyBorder="1" applyAlignment="1">
      <alignment horizontal="center" wrapText="1"/>
    </xf>
    <xf numFmtId="0" fontId="35" fillId="2" borderId="3" xfId="0" applyFont="1" applyFill="1" applyBorder="1" applyAlignment="1">
      <alignment horizontal="center"/>
    </xf>
    <xf numFmtId="0" fontId="35" fillId="0" borderId="3" xfId="0" applyFont="1" applyBorder="1" applyAlignment="1">
      <alignment horizontal="center"/>
    </xf>
    <xf numFmtId="0" fontId="35" fillId="0" borderId="37" xfId="0" applyFont="1" applyBorder="1" applyAlignment="1">
      <alignment horizontal="center"/>
    </xf>
    <xf numFmtId="0" fontId="35" fillId="0" borderId="21" xfId="0" applyFont="1" applyBorder="1" applyAlignment="1">
      <alignment horizontal="left"/>
    </xf>
    <xf numFmtId="0" fontId="36" fillId="0" borderId="25" xfId="0" applyFont="1" applyBorder="1" applyAlignment="1">
      <alignment horizontal="center"/>
    </xf>
    <xf numFmtId="0" fontId="36" fillId="0" borderId="22" xfId="0" applyFont="1" applyBorder="1" applyAlignment="1">
      <alignment horizontal="center"/>
    </xf>
    <xf numFmtId="0" fontId="35" fillId="0" borderId="19" xfId="0" applyFont="1" applyBorder="1" applyAlignment="1">
      <alignment horizontal="left" vertical="center"/>
    </xf>
    <xf numFmtId="6" fontId="36" fillId="0" borderId="20" xfId="0" applyNumberFormat="1" applyFont="1" applyBorder="1" applyAlignment="1">
      <alignment horizontal="center" vertical="center"/>
    </xf>
    <xf numFmtId="0" fontId="35" fillId="0" borderId="23" xfId="0" applyFont="1" applyBorder="1" applyAlignment="1">
      <alignment horizontal="left"/>
    </xf>
    <xf numFmtId="0" fontId="35" fillId="2" borderId="28" xfId="0" applyFont="1" applyFill="1" applyBorder="1" applyAlignment="1">
      <alignment horizontal="center"/>
    </xf>
    <xf numFmtId="0" fontId="35" fillId="0" borderId="28" xfId="0" applyFont="1" applyBorder="1" applyAlignment="1">
      <alignment horizontal="center"/>
    </xf>
    <xf numFmtId="49" fontId="35" fillId="0" borderId="20" xfId="0" applyNumberFormat="1" applyFont="1" applyBorder="1" applyAlignment="1">
      <alignment horizontal="center"/>
    </xf>
    <xf numFmtId="0" fontId="35" fillId="0" borderId="40" xfId="0" applyFont="1" applyBorder="1" applyAlignment="1">
      <alignment horizontal="left" wrapText="1"/>
    </xf>
    <xf numFmtId="49" fontId="35" fillId="0" borderId="27" xfId="0" applyNumberFormat="1" applyFont="1" applyBorder="1" applyAlignment="1">
      <alignment horizontal="center"/>
    </xf>
    <xf numFmtId="49" fontId="35" fillId="0" borderId="1" xfId="0" applyNumberFormat="1" applyFont="1" applyBorder="1" applyAlignment="1">
      <alignment horizontal="center"/>
    </xf>
    <xf numFmtId="0" fontId="35" fillId="0" borderId="33" xfId="0" applyFont="1" applyBorder="1" applyAlignment="1">
      <alignment horizontal="left" wrapText="1"/>
    </xf>
    <xf numFmtId="0" fontId="35" fillId="0" borderId="25" xfId="0" applyFont="1" applyBorder="1" applyAlignment="1">
      <alignment horizontal="center"/>
    </xf>
    <xf numFmtId="0" fontId="35" fillId="0" borderId="22" xfId="0" applyFont="1" applyBorder="1" applyAlignment="1">
      <alignment horizontal="center"/>
    </xf>
    <xf numFmtId="0" fontId="35" fillId="0" borderId="30" xfId="0" applyFont="1" applyBorder="1" applyAlignment="1">
      <alignment horizontal="left" wrapText="1"/>
    </xf>
    <xf numFmtId="0" fontId="35" fillId="0" borderId="0" xfId="0" applyFont="1" applyBorder="1" applyAlignment="1">
      <alignment horizontal="left"/>
    </xf>
    <xf numFmtId="0" fontId="35" fillId="0" borderId="0" xfId="0" applyFont="1" applyBorder="1" applyAlignment="1">
      <alignment horizontal="center"/>
    </xf>
    <xf numFmtId="0" fontId="38" fillId="0" borderId="1" xfId="0" applyFont="1" applyBorder="1" applyAlignment="1">
      <alignment horizontal="center"/>
    </xf>
    <xf numFmtId="0" fontId="35" fillId="0" borderId="21" xfId="0" applyFont="1" applyBorder="1" applyAlignment="1">
      <alignment horizontal="left" wrapText="1"/>
    </xf>
    <xf numFmtId="49" fontId="35" fillId="0" borderId="25" xfId="0" applyNumberFormat="1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center" vertical="center"/>
    </xf>
    <xf numFmtId="0" fontId="35" fillId="0" borderId="23" xfId="0" applyFont="1" applyBorder="1" applyAlignment="1">
      <alignment horizontal="left" wrapText="1"/>
    </xf>
    <xf numFmtId="49" fontId="35" fillId="0" borderId="28" xfId="0" applyNumberFormat="1" applyFont="1" applyBorder="1" applyAlignment="1">
      <alignment horizontal="center" vertical="center"/>
    </xf>
    <xf numFmtId="49" fontId="35" fillId="0" borderId="24" xfId="0" applyNumberFormat="1" applyFont="1" applyBorder="1" applyAlignment="1">
      <alignment horizontal="center" vertical="center"/>
    </xf>
    <xf numFmtId="44" fontId="35" fillId="0" borderId="34" xfId="2" applyFont="1" applyBorder="1"/>
    <xf numFmtId="0" fontId="35" fillId="0" borderId="43" xfId="0" applyFont="1" applyBorder="1"/>
    <xf numFmtId="0" fontId="36" fillId="8" borderId="12" xfId="0" applyFont="1" applyFill="1" applyBorder="1"/>
    <xf numFmtId="0" fontId="35" fillId="0" borderId="44" xfId="0" applyFont="1" applyBorder="1"/>
    <xf numFmtId="44" fontId="35" fillId="0" borderId="45" xfId="2" applyFont="1" applyBorder="1"/>
    <xf numFmtId="44" fontId="35" fillId="0" borderId="43" xfId="2" applyFont="1" applyBorder="1"/>
    <xf numFmtId="164" fontId="36" fillId="0" borderId="47" xfId="0" applyNumberFormat="1" applyFont="1" applyBorder="1"/>
    <xf numFmtId="164" fontId="36" fillId="0" borderId="48" xfId="0" applyNumberFormat="1" applyFont="1" applyBorder="1" applyAlignment="1">
      <alignment horizontal="center"/>
    </xf>
    <xf numFmtId="49" fontId="35" fillId="0" borderId="41" xfId="0" applyNumberFormat="1" applyFont="1" applyBorder="1" applyAlignment="1">
      <alignment horizontal="center" vertical="center"/>
    </xf>
    <xf numFmtId="49" fontId="35" fillId="0" borderId="42" xfId="0" applyNumberFormat="1" applyFont="1" applyBorder="1" applyAlignment="1">
      <alignment horizontal="center" vertical="center"/>
    </xf>
    <xf numFmtId="0" fontId="36" fillId="7" borderId="12" xfId="0" applyFont="1" applyFill="1" applyBorder="1"/>
    <xf numFmtId="44" fontId="35" fillId="7" borderId="12" xfId="2" applyFont="1" applyFill="1" applyBorder="1"/>
    <xf numFmtId="0" fontId="35" fillId="0" borderId="28" xfId="0" applyFont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left" wrapText="1"/>
    </xf>
    <xf numFmtId="0" fontId="38" fillId="0" borderId="25" xfId="0" applyFont="1" applyBorder="1" applyAlignment="1">
      <alignment horizontal="center" vertical="center" wrapText="1"/>
    </xf>
    <xf numFmtId="0" fontId="35" fillId="0" borderId="19" xfId="0" applyFont="1" applyBorder="1"/>
    <xf numFmtId="0" fontId="35" fillId="0" borderId="23" xfId="0" applyFont="1" applyBorder="1"/>
    <xf numFmtId="0" fontId="36" fillId="0" borderId="21" xfId="0" applyFont="1" applyBorder="1" applyAlignment="1">
      <alignment horizontal="left"/>
    </xf>
    <xf numFmtId="6" fontId="36" fillId="2" borderId="19" xfId="0" applyNumberFormat="1" applyFont="1" applyFill="1" applyBorder="1" applyAlignment="1">
      <alignment horizontal="left" vertical="center" wrapText="1"/>
    </xf>
    <xf numFmtId="0" fontId="36" fillId="2" borderId="19" xfId="0" applyFont="1" applyFill="1" applyBorder="1" applyAlignment="1">
      <alignment horizontal="left"/>
    </xf>
    <xf numFmtId="0" fontId="36" fillId="0" borderId="19" xfId="0" applyFont="1" applyBorder="1" applyAlignment="1">
      <alignment horizontal="left"/>
    </xf>
    <xf numFmtId="0" fontId="36" fillId="0" borderId="23" xfId="0" applyFont="1" applyBorder="1" applyAlignment="1">
      <alignment horizontal="left"/>
    </xf>
    <xf numFmtId="0" fontId="38" fillId="0" borderId="19" xfId="0" applyFont="1" applyBorder="1" applyAlignment="1">
      <alignment horizontal="left"/>
    </xf>
    <xf numFmtId="0" fontId="38" fillId="2" borderId="1" xfId="0" applyFont="1" applyFill="1" applyBorder="1" applyAlignment="1">
      <alignment horizontal="left"/>
    </xf>
    <xf numFmtId="0" fontId="38" fillId="2" borderId="1" xfId="0" applyFont="1" applyFill="1" applyBorder="1" applyAlignment="1">
      <alignment horizontal="center"/>
    </xf>
    <xf numFmtId="0" fontId="38" fillId="0" borderId="20" xfId="0" applyFont="1" applyBorder="1" applyAlignment="1">
      <alignment horizontal="center"/>
    </xf>
    <xf numFmtId="0" fontId="36" fillId="0" borderId="0" xfId="0" applyFont="1"/>
    <xf numFmtId="164" fontId="37" fillId="2" borderId="1" xfId="0" applyNumberFormat="1" applyFont="1" applyFill="1" applyBorder="1"/>
    <xf numFmtId="0" fontId="35" fillId="0" borderId="19" xfId="0" applyFont="1" applyBorder="1" applyAlignment="1">
      <alignment wrapText="1"/>
    </xf>
    <xf numFmtId="0" fontId="36" fillId="0" borderId="19" xfId="0" applyFont="1" applyBorder="1" applyAlignment="1">
      <alignment wrapText="1"/>
    </xf>
    <xf numFmtId="0" fontId="31" fillId="0" borderId="0" xfId="0" applyFont="1"/>
    <xf numFmtId="0" fontId="31" fillId="0" borderId="0" xfId="0" applyFont="1" applyAlignment="1">
      <alignment horizontal="center"/>
    </xf>
    <xf numFmtId="0" fontId="31" fillId="0" borderId="18" xfId="0" applyFont="1" applyBorder="1"/>
    <xf numFmtId="0" fontId="34" fillId="0" borderId="25" xfId="0" applyFont="1" applyBorder="1" applyAlignment="1">
      <alignment horizontal="center" wrapText="1"/>
    </xf>
    <xf numFmtId="0" fontId="34" fillId="0" borderId="22" xfId="0" applyFont="1" applyBorder="1" applyAlignment="1">
      <alignment horizontal="center" wrapText="1"/>
    </xf>
    <xf numFmtId="0" fontId="31" fillId="4" borderId="0" xfId="0" applyFont="1" applyFill="1"/>
    <xf numFmtId="0" fontId="34" fillId="0" borderId="1" xfId="0" applyFont="1" applyBorder="1" applyAlignment="1">
      <alignment horizontal="center" wrapText="1"/>
    </xf>
    <xf numFmtId="0" fontId="31" fillId="0" borderId="21" xfId="0" applyFont="1" applyBorder="1"/>
    <xf numFmtId="9" fontId="31" fillId="0" borderId="0" xfId="0" applyNumberFormat="1" applyFont="1"/>
    <xf numFmtId="0" fontId="39" fillId="0" borderId="26" xfId="0" applyFont="1" applyBorder="1" applyAlignment="1">
      <alignment wrapText="1"/>
    </xf>
    <xf numFmtId="164" fontId="31" fillId="0" borderId="1" xfId="0" quotePrefix="1" applyNumberFormat="1" applyFont="1" applyBorder="1" applyAlignment="1">
      <alignment horizontal="center" wrapText="1"/>
    </xf>
    <xf numFmtId="0" fontId="39" fillId="0" borderId="2" xfId="0" applyFont="1" applyBorder="1" applyAlignment="1">
      <alignment wrapText="1"/>
    </xf>
    <xf numFmtId="0" fontId="39" fillId="0" borderId="19" xfId="0" applyFont="1" applyBorder="1" applyAlignment="1">
      <alignment vertical="center" wrapText="1"/>
    </xf>
    <xf numFmtId="0" fontId="39" fillId="6" borderId="26" xfId="0" applyFont="1" applyFill="1" applyBorder="1" applyAlignment="1">
      <alignment vertical="center" wrapText="1"/>
    </xf>
    <xf numFmtId="164" fontId="31" fillId="0" borderId="1" xfId="0" quotePrefix="1" applyNumberFormat="1" applyFont="1" applyBorder="1" applyAlignment="1">
      <alignment horizontal="center"/>
    </xf>
    <xf numFmtId="164" fontId="31" fillId="0" borderId="20" xfId="0" quotePrefix="1" applyNumberFormat="1" applyFont="1" applyBorder="1" applyAlignment="1">
      <alignment horizontal="center"/>
    </xf>
    <xf numFmtId="0" fontId="39" fillId="6" borderId="2" xfId="0" applyFont="1" applyFill="1" applyBorder="1" applyAlignment="1">
      <alignment vertical="center" wrapText="1"/>
    </xf>
    <xf numFmtId="0" fontId="39" fillId="6" borderId="19" xfId="0" applyFont="1" applyFill="1" applyBorder="1" applyAlignment="1">
      <alignment vertical="center" wrapText="1"/>
    </xf>
    <xf numFmtId="164" fontId="31" fillId="0" borderId="1" xfId="0" quotePrefix="1" applyNumberFormat="1" applyFont="1" applyBorder="1" applyAlignment="1">
      <alignment horizontal="center" vertical="center"/>
    </xf>
    <xf numFmtId="0" fontId="31" fillId="0" borderId="0" xfId="0" applyFont="1" applyAlignment="1">
      <alignment vertical="center"/>
    </xf>
    <xf numFmtId="164" fontId="31" fillId="0" borderId="20" xfId="0" quotePrefix="1" applyNumberFormat="1" applyFont="1" applyBorder="1" applyAlignment="1">
      <alignment horizontal="center" vertical="center"/>
    </xf>
    <xf numFmtId="0" fontId="31" fillId="4" borderId="0" xfId="0" applyFont="1" applyFill="1" applyAlignment="1">
      <alignment vertical="center"/>
    </xf>
    <xf numFmtId="0" fontId="40" fillId="6" borderId="19" xfId="0" applyFont="1" applyFill="1" applyBorder="1" applyAlignment="1">
      <alignment vertical="center" wrapText="1"/>
    </xf>
    <xf numFmtId="165" fontId="31" fillId="0" borderId="0" xfId="0" applyNumberFormat="1" applyFont="1" applyAlignment="1">
      <alignment vertical="center"/>
    </xf>
    <xf numFmtId="0" fontId="39" fillId="6" borderId="0" xfId="0" applyFont="1" applyFill="1" applyBorder="1" applyAlignment="1">
      <alignment vertical="center" wrapText="1"/>
    </xf>
    <xf numFmtId="164" fontId="31" fillId="0" borderId="0" xfId="0" quotePrefix="1" applyNumberFormat="1" applyFont="1" applyBorder="1" applyAlignment="1">
      <alignment horizontal="center"/>
    </xf>
    <xf numFmtId="9" fontId="31" fillId="0" borderId="1" xfId="1" quotePrefix="1" applyFont="1" applyBorder="1" applyAlignment="1">
      <alignment horizontal="center" vertical="center" wrapText="1"/>
    </xf>
    <xf numFmtId="0" fontId="31" fillId="0" borderId="23" xfId="0" applyFont="1" applyBorder="1" applyAlignment="1">
      <alignment vertical="center"/>
    </xf>
    <xf numFmtId="0" fontId="31" fillId="0" borderId="23" xfId="0" applyFont="1" applyBorder="1"/>
    <xf numFmtId="0" fontId="31" fillId="0" borderId="28" xfId="0" applyFont="1" applyBorder="1" applyAlignment="1">
      <alignment horizontal="center" wrapText="1"/>
    </xf>
    <xf numFmtId="0" fontId="34" fillId="8" borderId="18" xfId="0" applyFont="1" applyFill="1" applyBorder="1" applyAlignment="1">
      <alignment wrapText="1"/>
    </xf>
    <xf numFmtId="164" fontId="34" fillId="8" borderId="39" xfId="0" applyNumberFormat="1" applyFont="1" applyFill="1" applyBorder="1" applyAlignment="1">
      <alignment horizontal="right"/>
    </xf>
    <xf numFmtId="0" fontId="34" fillId="8" borderId="31" xfId="0" applyFont="1" applyFill="1" applyBorder="1"/>
    <xf numFmtId="44" fontId="34" fillId="8" borderId="16" xfId="2" applyFont="1" applyFill="1" applyBorder="1" applyAlignment="1">
      <alignment horizontal="right"/>
    </xf>
    <xf numFmtId="0" fontId="34" fillId="0" borderId="25" xfId="0" applyFont="1" applyBorder="1" applyAlignment="1">
      <alignment horizontal="center" vertical="center" wrapText="1"/>
    </xf>
    <xf numFmtId="0" fontId="34" fillId="0" borderId="22" xfId="0" applyFont="1" applyBorder="1" applyAlignment="1">
      <alignment horizontal="center" vertical="center" wrapText="1"/>
    </xf>
    <xf numFmtId="0" fontId="31" fillId="0" borderId="0" xfId="0" applyFont="1" applyBorder="1" applyAlignment="1">
      <alignment vertical="center"/>
    </xf>
    <xf numFmtId="164" fontId="31" fillId="0" borderId="0" xfId="0" applyNumberFormat="1" applyFont="1" applyBorder="1" applyAlignment="1">
      <alignment vertical="center"/>
    </xf>
    <xf numFmtId="9" fontId="31" fillId="0" borderId="0" xfId="0" applyNumberFormat="1" applyFont="1" applyBorder="1" applyAlignment="1">
      <alignment horizontal="center" vertical="center"/>
    </xf>
    <xf numFmtId="0" fontId="31" fillId="0" borderId="0" xfId="0" applyFont="1" applyBorder="1"/>
    <xf numFmtId="0" fontId="41" fillId="0" borderId="0" xfId="0" applyFont="1"/>
    <xf numFmtId="0" fontId="36" fillId="0" borderId="1" xfId="0" applyFont="1" applyBorder="1" applyAlignment="1">
      <alignment horizontal="center"/>
    </xf>
    <xf numFmtId="0" fontId="30" fillId="0" borderId="0" xfId="0" applyFont="1"/>
    <xf numFmtId="0" fontId="30" fillId="0" borderId="0" xfId="0" applyFont="1" applyAlignment="1">
      <alignment horizontal="right" vertical="top"/>
    </xf>
    <xf numFmtId="0" fontId="31" fillId="0" borderId="0" xfId="0" applyFont="1" applyAlignment="1">
      <alignment horizontal="right" vertical="top"/>
    </xf>
    <xf numFmtId="164" fontId="31" fillId="0" borderId="1" xfId="0" quotePrefix="1" applyNumberFormat="1" applyFont="1" applyBorder="1" applyAlignment="1">
      <alignment horizontal="right" vertical="center" wrapText="1"/>
    </xf>
    <xf numFmtId="164" fontId="31" fillId="0" borderId="1" xfId="0" quotePrefix="1" applyNumberFormat="1" applyFont="1" applyBorder="1" applyAlignment="1">
      <alignment horizontal="right" vertical="center"/>
    </xf>
    <xf numFmtId="164" fontId="40" fillId="0" borderId="1" xfId="0" quotePrefix="1" applyNumberFormat="1" applyFont="1" applyBorder="1" applyAlignment="1">
      <alignment horizontal="right" vertical="center"/>
    </xf>
    <xf numFmtId="164" fontId="31" fillId="0" borderId="28" xfId="0" applyNumberFormat="1" applyFont="1" applyBorder="1" applyAlignment="1">
      <alignment horizontal="right" vertical="center"/>
    </xf>
    <xf numFmtId="0" fontId="31" fillId="0" borderId="28" xfId="0" applyFont="1" applyBorder="1" applyAlignment="1">
      <alignment horizontal="right" vertical="center"/>
    </xf>
    <xf numFmtId="164" fontId="31" fillId="0" borderId="20" xfId="0" quotePrefix="1" applyNumberFormat="1" applyFont="1" applyBorder="1" applyAlignment="1">
      <alignment horizontal="right" vertical="center" wrapText="1"/>
    </xf>
    <xf numFmtId="164" fontId="31" fillId="0" borderId="24" xfId="0" applyNumberFormat="1" applyFont="1" applyBorder="1" applyAlignment="1">
      <alignment horizontal="right" vertical="center"/>
    </xf>
    <xf numFmtId="0" fontId="36" fillId="3" borderId="1" xfId="0" applyFont="1" applyFill="1" applyBorder="1" applyAlignment="1">
      <alignment horizontal="left"/>
    </xf>
    <xf numFmtId="0" fontId="36" fillId="3" borderId="1" xfId="0" applyFont="1" applyFill="1" applyBorder="1" applyAlignment="1">
      <alignment horizontal="center"/>
    </xf>
    <xf numFmtId="0" fontId="30" fillId="0" borderId="46" xfId="0" applyFont="1" applyBorder="1"/>
    <xf numFmtId="0" fontId="30" fillId="0" borderId="47" xfId="0" applyFont="1" applyBorder="1"/>
    <xf numFmtId="0" fontId="30" fillId="0" borderId="48" xfId="0" applyFont="1" applyBorder="1"/>
    <xf numFmtId="0" fontId="30" fillId="0" borderId="50" xfId="0" applyFont="1" applyBorder="1"/>
    <xf numFmtId="0" fontId="30" fillId="0" borderId="1" xfId="0" applyFont="1" applyBorder="1"/>
    <xf numFmtId="44" fontId="30" fillId="0" borderId="1" xfId="2" applyFont="1" applyBorder="1"/>
    <xf numFmtId="0" fontId="30" fillId="0" borderId="3" xfId="0" applyFont="1" applyBorder="1"/>
    <xf numFmtId="44" fontId="30" fillId="0" borderId="3" xfId="0" applyNumberFormat="1" applyFont="1" applyBorder="1"/>
    <xf numFmtId="0" fontId="41" fillId="0" borderId="1" xfId="0" applyFont="1" applyBorder="1"/>
    <xf numFmtId="0" fontId="34" fillId="0" borderId="0" xfId="0" applyFont="1"/>
    <xf numFmtId="0" fontId="29" fillId="0" borderId="1" xfId="0" applyFont="1" applyBorder="1"/>
    <xf numFmtId="0" fontId="34" fillId="0" borderId="46" xfId="0" applyFont="1" applyBorder="1"/>
    <xf numFmtId="0" fontId="34" fillId="0" borderId="47" xfId="0" applyFont="1" applyBorder="1"/>
    <xf numFmtId="44" fontId="34" fillId="0" borderId="47" xfId="0" applyNumberFormat="1" applyFont="1" applyBorder="1"/>
    <xf numFmtId="0" fontId="29" fillId="0" borderId="19" xfId="0" applyFont="1" applyBorder="1"/>
    <xf numFmtId="44" fontId="30" fillId="0" borderId="20" xfId="2" applyFont="1" applyBorder="1"/>
    <xf numFmtId="0" fontId="30" fillId="0" borderId="19" xfId="0" applyFont="1" applyBorder="1"/>
    <xf numFmtId="0" fontId="42" fillId="0" borderId="23" xfId="0" applyFont="1" applyBorder="1"/>
    <xf numFmtId="0" fontId="42" fillId="0" borderId="28" xfId="0" applyFont="1" applyBorder="1"/>
    <xf numFmtId="0" fontId="30" fillId="0" borderId="11" xfId="0" applyFont="1" applyBorder="1"/>
    <xf numFmtId="44" fontId="30" fillId="0" borderId="11" xfId="2" applyFont="1" applyBorder="1"/>
    <xf numFmtId="0" fontId="34" fillId="0" borderId="17" xfId="0" applyFont="1" applyBorder="1"/>
    <xf numFmtId="0" fontId="34" fillId="0" borderId="14" xfId="0" applyFont="1" applyBorder="1"/>
    <xf numFmtId="0" fontId="34" fillId="0" borderId="14" xfId="0" applyFont="1" applyBorder="1" applyAlignment="1">
      <alignment wrapText="1"/>
    </xf>
    <xf numFmtId="0" fontId="34" fillId="0" borderId="13" xfId="0" applyFont="1" applyBorder="1"/>
    <xf numFmtId="0" fontId="30" fillId="0" borderId="51" xfId="0" applyFont="1" applyBorder="1"/>
    <xf numFmtId="0" fontId="30" fillId="0" borderId="8" xfId="0" applyFont="1" applyBorder="1"/>
    <xf numFmtId="44" fontId="42" fillId="0" borderId="28" xfId="2" applyFont="1" applyBorder="1"/>
    <xf numFmtId="44" fontId="42" fillId="0" borderId="24" xfId="2" applyFont="1" applyBorder="1"/>
    <xf numFmtId="0" fontId="30" fillId="0" borderId="0" xfId="0" applyFont="1" applyFill="1"/>
    <xf numFmtId="0" fontId="34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left"/>
    </xf>
    <xf numFmtId="0" fontId="34" fillId="0" borderId="0" xfId="0" applyFont="1" applyFill="1" applyBorder="1" applyAlignment="1">
      <alignment wrapText="1"/>
    </xf>
    <xf numFmtId="44" fontId="43" fillId="0" borderId="0" xfId="0" applyNumberFormat="1" applyFont="1" applyFill="1" applyBorder="1"/>
    <xf numFmtId="0" fontId="36" fillId="0" borderId="48" xfId="0" applyFont="1" applyBorder="1" applyAlignment="1">
      <alignment vertical="top" wrapText="1"/>
    </xf>
    <xf numFmtId="0" fontId="36" fillId="0" borderId="46" xfId="0" applyFont="1" applyBorder="1" applyAlignment="1">
      <alignment vertical="top"/>
    </xf>
    <xf numFmtId="0" fontId="34" fillId="0" borderId="19" xfId="0" applyFont="1" applyFill="1" applyBorder="1" applyAlignment="1">
      <alignment horizontal="left"/>
    </xf>
    <xf numFmtId="0" fontId="35" fillId="0" borderId="35" xfId="0" applyFont="1" applyBorder="1"/>
    <xf numFmtId="0" fontId="36" fillId="0" borderId="46" xfId="0" applyFont="1" applyBorder="1"/>
    <xf numFmtId="0" fontId="44" fillId="0" borderId="46" xfId="0" applyFont="1" applyBorder="1"/>
    <xf numFmtId="164" fontId="44" fillId="2" borderId="47" xfId="0" applyNumberFormat="1" applyFont="1" applyFill="1" applyBorder="1"/>
    <xf numFmtId="164" fontId="44" fillId="2" borderId="48" xfId="0" applyNumberFormat="1" applyFont="1" applyFill="1" applyBorder="1"/>
    <xf numFmtId="44" fontId="35" fillId="2" borderId="1" xfId="2" applyFont="1" applyFill="1" applyBorder="1" applyAlignment="1">
      <alignment horizontal="right"/>
    </xf>
    <xf numFmtId="44" fontId="35" fillId="2" borderId="20" xfId="2" applyFont="1" applyFill="1" applyBorder="1" applyAlignment="1">
      <alignment horizontal="right"/>
    </xf>
    <xf numFmtId="44" fontId="34" fillId="0" borderId="1" xfId="2" applyFont="1" applyFill="1" applyBorder="1" applyAlignment="1">
      <alignment horizontal="right"/>
    </xf>
    <xf numFmtId="44" fontId="34" fillId="0" borderId="20" xfId="2" applyFont="1" applyFill="1" applyBorder="1" applyAlignment="1">
      <alignment horizontal="right"/>
    </xf>
    <xf numFmtId="44" fontId="35" fillId="0" borderId="1" xfId="2" applyFont="1" applyBorder="1" applyAlignment="1">
      <alignment horizontal="right"/>
    </xf>
    <xf numFmtId="44" fontId="35" fillId="0" borderId="20" xfId="2" applyFont="1" applyBorder="1" applyAlignment="1">
      <alignment horizontal="right"/>
    </xf>
    <xf numFmtId="44" fontId="35" fillId="0" borderId="28" xfId="2" applyFont="1" applyBorder="1" applyAlignment="1">
      <alignment horizontal="right"/>
    </xf>
    <xf numFmtId="44" fontId="35" fillId="0" borderId="24" xfId="2" applyFont="1" applyBorder="1" applyAlignment="1">
      <alignment horizontal="right"/>
    </xf>
    <xf numFmtId="44" fontId="35" fillId="2" borderId="1" xfId="2" applyFont="1" applyFill="1" applyBorder="1"/>
    <xf numFmtId="44" fontId="35" fillId="2" borderId="20" xfId="2" applyFont="1" applyFill="1" applyBorder="1"/>
    <xf numFmtId="44" fontId="35" fillId="2" borderId="10" xfId="2" applyFont="1" applyFill="1" applyBorder="1"/>
    <xf numFmtId="44" fontId="35" fillId="2" borderId="36" xfId="2" applyFont="1" applyFill="1" applyBorder="1"/>
    <xf numFmtId="0" fontId="35" fillId="0" borderId="10" xfId="0" applyFont="1" applyBorder="1" applyAlignment="1">
      <alignment horizontal="center"/>
    </xf>
    <xf numFmtId="0" fontId="36" fillId="4" borderId="1" xfId="0" applyFont="1" applyFill="1" applyBorder="1" applyAlignment="1">
      <alignment horizontal="center"/>
    </xf>
    <xf numFmtId="0" fontId="35" fillId="4" borderId="1" xfId="0" applyFont="1" applyFill="1" applyBorder="1" applyAlignment="1">
      <alignment horizontal="center"/>
    </xf>
    <xf numFmtId="0" fontId="35" fillId="4" borderId="1" xfId="0" applyFont="1" applyFill="1" applyBorder="1" applyAlignment="1">
      <alignment horizontal="center" wrapText="1"/>
    </xf>
    <xf numFmtId="0" fontId="35" fillId="5" borderId="1" xfId="0" applyFont="1" applyFill="1" applyBorder="1" applyAlignment="1">
      <alignment horizontal="center"/>
    </xf>
    <xf numFmtId="0" fontId="35" fillId="2" borderId="1" xfId="0" applyFont="1" applyFill="1" applyBorder="1" applyAlignment="1"/>
    <xf numFmtId="0" fontId="35" fillId="0" borderId="3" xfId="0" applyFont="1" applyBorder="1" applyAlignment="1">
      <alignment horizontal="center" wrapText="1"/>
    </xf>
    <xf numFmtId="0" fontId="35" fillId="4" borderId="2" xfId="0" applyFont="1" applyFill="1" applyBorder="1" applyAlignment="1">
      <alignment horizontal="center"/>
    </xf>
    <xf numFmtId="0" fontId="35" fillId="0" borderId="0" xfId="0" applyFont="1" applyBorder="1" applyAlignment="1">
      <alignment horizontal="center" wrapText="1"/>
    </xf>
    <xf numFmtId="0" fontId="35" fillId="4" borderId="0" xfId="0" applyFont="1" applyFill="1" applyAlignment="1">
      <alignment horizontal="center"/>
    </xf>
    <xf numFmtId="0" fontId="35" fillId="3" borderId="0" xfId="0" applyFont="1" applyFill="1" applyAlignment="1">
      <alignment horizontal="center"/>
    </xf>
    <xf numFmtId="20" fontId="35" fillId="0" borderId="1" xfId="0" applyNumberFormat="1" applyFont="1" applyBorder="1" applyAlignment="1">
      <alignment horizontal="left" wrapText="1"/>
    </xf>
    <xf numFmtId="0" fontId="28" fillId="0" borderId="1" xfId="0" applyFont="1" applyBorder="1"/>
    <xf numFmtId="0" fontId="30" fillId="2" borderId="48" xfId="0" applyFont="1" applyFill="1" applyBorder="1"/>
    <xf numFmtId="0" fontId="41" fillId="0" borderId="0" xfId="0" applyFont="1" applyFill="1" applyBorder="1"/>
    <xf numFmtId="0" fontId="31" fillId="0" borderId="0" xfId="0" applyFont="1" applyFill="1"/>
    <xf numFmtId="0" fontId="35" fillId="12" borderId="48" xfId="0" applyFont="1" applyFill="1" applyBorder="1"/>
    <xf numFmtId="0" fontId="27" fillId="0" borderId="1" xfId="0" applyFont="1" applyBorder="1"/>
    <xf numFmtId="0" fontId="35" fillId="0" borderId="1" xfId="0" applyFont="1" applyBorder="1" applyAlignment="1">
      <alignment horizontal="center"/>
    </xf>
    <xf numFmtId="0" fontId="26" fillId="0" borderId="0" xfId="0" applyFont="1"/>
    <xf numFmtId="44" fontId="30" fillId="0" borderId="0" xfId="0" applyNumberFormat="1" applyFont="1"/>
    <xf numFmtId="0" fontId="36" fillId="0" borderId="47" xfId="0" applyFont="1" applyBorder="1" applyAlignment="1">
      <alignment vertical="top" wrapText="1"/>
    </xf>
    <xf numFmtId="0" fontId="25" fillId="0" borderId="1" xfId="0" applyFont="1" applyBorder="1"/>
    <xf numFmtId="164" fontId="36" fillId="0" borderId="48" xfId="0" applyNumberFormat="1" applyFont="1" applyBorder="1"/>
    <xf numFmtId="0" fontId="25" fillId="0" borderId="1" xfId="0" applyFont="1" applyFill="1" applyBorder="1"/>
    <xf numFmtId="0" fontId="30" fillId="0" borderId="1" xfId="0" applyFont="1" applyFill="1" applyBorder="1"/>
    <xf numFmtId="0" fontId="29" fillId="0" borderId="1" xfId="0" applyFont="1" applyFill="1" applyBorder="1"/>
    <xf numFmtId="0" fontId="25" fillId="0" borderId="28" xfId="0" applyFont="1" applyBorder="1" applyAlignment="1">
      <alignment horizontal="center" wrapText="1"/>
    </xf>
    <xf numFmtId="0" fontId="25" fillId="0" borderId="24" xfId="0" applyFont="1" applyBorder="1" applyAlignment="1">
      <alignment horizontal="center" wrapText="1"/>
    </xf>
    <xf numFmtId="0" fontId="35" fillId="0" borderId="1" xfId="0" applyFont="1" applyBorder="1" applyAlignment="1">
      <alignment horizontal="center" vertical="center" wrapText="1"/>
    </xf>
    <xf numFmtId="44" fontId="30" fillId="0" borderId="37" xfId="0" applyNumberFormat="1" applyFont="1" applyFill="1" applyBorder="1"/>
    <xf numFmtId="0" fontId="41" fillId="0" borderId="0" xfId="0" applyFont="1" applyFill="1"/>
    <xf numFmtId="0" fontId="24" fillId="0" borderId="1" xfId="0" applyFont="1" applyBorder="1"/>
    <xf numFmtId="44" fontId="41" fillId="0" borderId="0" xfId="0" applyNumberFormat="1" applyFont="1"/>
    <xf numFmtId="0" fontId="23" fillId="0" borderId="35" xfId="0" applyFont="1" applyBorder="1"/>
    <xf numFmtId="0" fontId="23" fillId="0" borderId="10" xfId="0" applyFont="1" applyBorder="1"/>
    <xf numFmtId="44" fontId="30" fillId="0" borderId="36" xfId="2" applyFont="1" applyBorder="1"/>
    <xf numFmtId="164" fontId="22" fillId="0" borderId="1" xfId="0" quotePrefix="1" applyNumberFormat="1" applyFont="1" applyBorder="1" applyAlignment="1">
      <alignment horizontal="center" wrapText="1"/>
    </xf>
    <xf numFmtId="0" fontId="21" fillId="0" borderId="19" xfId="0" applyFont="1" applyBorder="1"/>
    <xf numFmtId="0" fontId="21" fillId="0" borderId="19" xfId="0" applyFont="1" applyFill="1" applyBorder="1"/>
    <xf numFmtId="0" fontId="21" fillId="0" borderId="1" xfId="0" applyFont="1" applyBorder="1"/>
    <xf numFmtId="0" fontId="45" fillId="0" borderId="0" xfId="0" applyFont="1"/>
    <xf numFmtId="166" fontId="31" fillId="0" borderId="1" xfId="3" quotePrefix="1" applyNumberFormat="1" applyFont="1" applyFill="1" applyBorder="1" applyAlignment="1">
      <alignment horizontal="center" vertical="center" wrapText="1"/>
    </xf>
    <xf numFmtId="166" fontId="31" fillId="0" borderId="1" xfId="3" quotePrefix="1" applyNumberFormat="1" applyFont="1" applyBorder="1" applyAlignment="1">
      <alignment horizontal="center" vertical="center" wrapText="1"/>
    </xf>
    <xf numFmtId="166" fontId="40" fillId="0" borderId="1" xfId="3" quotePrefix="1" applyNumberFormat="1" applyFont="1" applyBorder="1" applyAlignment="1">
      <alignment horizontal="center" vertical="center" wrapText="1"/>
    </xf>
    <xf numFmtId="0" fontId="34" fillId="3" borderId="22" xfId="0" applyFont="1" applyFill="1" applyBorder="1" applyAlignment="1">
      <alignment horizontal="right"/>
    </xf>
    <xf numFmtId="166" fontId="34" fillId="3" borderId="24" xfId="0" applyNumberFormat="1" applyFont="1" applyFill="1" applyBorder="1" applyAlignment="1">
      <alignment horizontal="right"/>
    </xf>
    <xf numFmtId="0" fontId="20" fillId="0" borderId="19" xfId="0" applyFont="1" applyBorder="1"/>
    <xf numFmtId="0" fontId="20" fillId="0" borderId="1" xfId="0" applyFont="1" applyBorder="1"/>
    <xf numFmtId="0" fontId="19" fillId="0" borderId="19" xfId="0" applyFont="1" applyBorder="1"/>
    <xf numFmtId="167" fontId="31" fillId="0" borderId="1" xfId="3" quotePrefix="1" applyNumberFormat="1" applyFont="1" applyBorder="1" applyAlignment="1">
      <alignment horizontal="center" vertical="center" wrapText="1"/>
    </xf>
    <xf numFmtId="167" fontId="40" fillId="0" borderId="1" xfId="3" quotePrefix="1" applyNumberFormat="1" applyFont="1" applyBorder="1" applyAlignment="1">
      <alignment horizontal="center" vertical="center" wrapText="1"/>
    </xf>
    <xf numFmtId="167" fontId="31" fillId="0" borderId="28" xfId="3" applyNumberFormat="1" applyFont="1" applyBorder="1" applyAlignment="1">
      <alignment horizontal="center" vertical="center"/>
    </xf>
    <xf numFmtId="0" fontId="18" fillId="0" borderId="0" xfId="0" applyFont="1"/>
    <xf numFmtId="0" fontId="17" fillId="0" borderId="1" xfId="0" applyFont="1" applyBorder="1"/>
    <xf numFmtId="0" fontId="16" fillId="0" borderId="0" xfId="0" applyFont="1"/>
    <xf numFmtId="166" fontId="31" fillId="0" borderId="0" xfId="0" applyNumberFormat="1" applyFont="1" applyFill="1" applyAlignment="1">
      <alignment horizontal="center"/>
    </xf>
    <xf numFmtId="0" fontId="15" fillId="0" borderId="10" xfId="0" applyFont="1" applyBorder="1"/>
    <xf numFmtId="0" fontId="14" fillId="0" borderId="1" xfId="0" applyFont="1" applyBorder="1"/>
    <xf numFmtId="0" fontId="38" fillId="0" borderId="0" xfId="0" applyFont="1"/>
    <xf numFmtId="0" fontId="13" fillId="0" borderId="0" xfId="0" applyFont="1"/>
    <xf numFmtId="0" fontId="31" fillId="13" borderId="12" xfId="0" applyFont="1" applyFill="1" applyBorder="1"/>
    <xf numFmtId="14" fontId="31" fillId="0" borderId="0" xfId="0" applyNumberFormat="1" applyFont="1"/>
    <xf numFmtId="164" fontId="31" fillId="0" borderId="0" xfId="0" quotePrefix="1" applyNumberFormat="1" applyFont="1" applyBorder="1" applyAlignment="1">
      <alignment horizontal="center" vertical="center"/>
    </xf>
    <xf numFmtId="44" fontId="40" fillId="0" borderId="0" xfId="0" applyNumberFormat="1" applyFont="1" applyFill="1" applyBorder="1"/>
    <xf numFmtId="0" fontId="45" fillId="0" borderId="0" xfId="0" applyFont="1" applyFill="1"/>
    <xf numFmtId="0" fontId="41" fillId="0" borderId="0" xfId="0" applyFont="1" applyAlignment="1"/>
    <xf numFmtId="0" fontId="41" fillId="0" borderId="0" xfId="0" applyFont="1" applyFill="1" applyAlignment="1"/>
    <xf numFmtId="0" fontId="30" fillId="0" borderId="0" xfId="0" applyFont="1" applyAlignment="1"/>
    <xf numFmtId="0" fontId="30" fillId="0" borderId="3" xfId="0" applyFont="1" applyFill="1" applyBorder="1"/>
    <xf numFmtId="0" fontId="29" fillId="0" borderId="19" xfId="0" applyFont="1" applyFill="1" applyBorder="1"/>
    <xf numFmtId="0" fontId="12" fillId="0" borderId="1" xfId="0" applyFont="1" applyFill="1" applyBorder="1"/>
    <xf numFmtId="0" fontId="30" fillId="0" borderId="19" xfId="0" applyFont="1" applyFill="1" applyBorder="1"/>
    <xf numFmtId="0" fontId="42" fillId="0" borderId="23" xfId="0" applyFont="1" applyFill="1" applyBorder="1"/>
    <xf numFmtId="0" fontId="42" fillId="0" borderId="28" xfId="0" applyFont="1" applyFill="1" applyBorder="1"/>
    <xf numFmtId="44" fontId="42" fillId="0" borderId="28" xfId="2" applyFont="1" applyFill="1" applyBorder="1"/>
    <xf numFmtId="44" fontId="42" fillId="0" borderId="28" xfId="0" applyNumberFormat="1" applyFont="1" applyFill="1" applyBorder="1"/>
    <xf numFmtId="44" fontId="42" fillId="0" borderId="53" xfId="0" applyNumberFormat="1" applyFont="1" applyFill="1" applyBorder="1"/>
    <xf numFmtId="44" fontId="42" fillId="0" borderId="24" xfId="0" applyNumberFormat="1" applyFont="1" applyFill="1" applyBorder="1"/>
    <xf numFmtId="0" fontId="21" fillId="0" borderId="35" xfId="0" applyFont="1" applyFill="1" applyBorder="1"/>
    <xf numFmtId="0" fontId="11" fillId="0" borderId="1" xfId="0" applyFont="1" applyBorder="1"/>
    <xf numFmtId="0" fontId="23" fillId="0" borderId="1" xfId="0" applyFont="1" applyBorder="1" applyAlignment="1">
      <alignment wrapText="1"/>
    </xf>
    <xf numFmtId="0" fontId="11" fillId="0" borderId="1" xfId="0" applyFont="1" applyBorder="1" applyAlignment="1">
      <alignment wrapText="1"/>
    </xf>
    <xf numFmtId="0" fontId="41" fillId="2" borderId="0" xfId="0" applyFont="1" applyFill="1"/>
    <xf numFmtId="0" fontId="30" fillId="2" borderId="0" xfId="0" applyFont="1" applyFill="1"/>
    <xf numFmtId="44" fontId="41" fillId="2" borderId="0" xfId="0" applyNumberFormat="1" applyFont="1" applyFill="1"/>
    <xf numFmtId="44" fontId="33" fillId="0" borderId="1" xfId="2" applyFont="1" applyBorder="1"/>
    <xf numFmtId="0" fontId="33" fillId="0" borderId="1" xfId="0" applyFont="1" applyBorder="1"/>
    <xf numFmtId="44" fontId="33" fillId="0" borderId="3" xfId="0" applyNumberFormat="1" applyFont="1" applyBorder="1"/>
    <xf numFmtId="0" fontId="33" fillId="0" borderId="0" xfId="0" applyFont="1" applyBorder="1"/>
    <xf numFmtId="0" fontId="33" fillId="0" borderId="10" xfId="0" applyFont="1" applyBorder="1"/>
    <xf numFmtId="44" fontId="33" fillId="0" borderId="10" xfId="2" applyFont="1" applyBorder="1"/>
    <xf numFmtId="44" fontId="33" fillId="0" borderId="3" xfId="2" applyFont="1" applyBorder="1"/>
    <xf numFmtId="0" fontId="33" fillId="0" borderId="3" xfId="0" applyFont="1" applyBorder="1"/>
    <xf numFmtId="44" fontId="45" fillId="0" borderId="1" xfId="2" applyFont="1" applyBorder="1"/>
    <xf numFmtId="0" fontId="45" fillId="0" borderId="1" xfId="0" applyFont="1" applyBorder="1"/>
    <xf numFmtId="44" fontId="45" fillId="0" borderId="1" xfId="0" applyNumberFormat="1" applyFont="1" applyBorder="1"/>
    <xf numFmtId="0" fontId="10" fillId="0" borderId="0" xfId="0" applyFont="1"/>
    <xf numFmtId="0" fontId="10" fillId="0" borderId="1" xfId="0" applyFont="1" applyBorder="1"/>
    <xf numFmtId="44" fontId="33" fillId="0" borderId="1" xfId="0" applyNumberFormat="1" applyFont="1" applyFill="1" applyBorder="1"/>
    <xf numFmtId="0" fontId="31" fillId="0" borderId="28" xfId="0" applyFont="1" applyBorder="1" applyAlignment="1">
      <alignment vertical="center"/>
    </xf>
    <xf numFmtId="167" fontId="31" fillId="13" borderId="28" xfId="0" applyNumberFormat="1" applyFont="1" applyFill="1" applyBorder="1" applyAlignment="1">
      <alignment vertical="center"/>
    </xf>
    <xf numFmtId="0" fontId="9" fillId="0" borderId="1" xfId="0" applyFont="1" applyBorder="1"/>
    <xf numFmtId="0" fontId="9" fillId="0" borderId="1" xfId="0" applyFont="1" applyFill="1" applyBorder="1"/>
    <xf numFmtId="44" fontId="9" fillId="0" borderId="3" xfId="0" applyNumberFormat="1" applyFont="1" applyBorder="1"/>
    <xf numFmtId="44" fontId="9" fillId="0" borderId="1" xfId="2" applyFont="1" applyFill="1" applyBorder="1"/>
    <xf numFmtId="44" fontId="9" fillId="0" borderId="1" xfId="2" applyFont="1" applyBorder="1"/>
    <xf numFmtId="44" fontId="9" fillId="0" borderId="1" xfId="0" applyNumberFormat="1" applyFont="1" applyFill="1" applyBorder="1"/>
    <xf numFmtId="44" fontId="8" fillId="0" borderId="1" xfId="2" applyFont="1" applyBorder="1"/>
    <xf numFmtId="44" fontId="8" fillId="0" borderId="1" xfId="0" applyNumberFormat="1" applyFont="1" applyBorder="1"/>
    <xf numFmtId="0" fontId="8" fillId="0" borderId="1" xfId="0" applyFont="1" applyFill="1" applyBorder="1"/>
    <xf numFmtId="44" fontId="8" fillId="0" borderId="3" xfId="0" applyNumberFormat="1" applyFont="1" applyBorder="1"/>
    <xf numFmtId="44" fontId="8" fillId="0" borderId="20" xfId="2" applyFont="1" applyBorder="1"/>
    <xf numFmtId="44" fontId="8" fillId="0" borderId="1" xfId="2" applyFont="1" applyFill="1" applyBorder="1"/>
    <xf numFmtId="44" fontId="8" fillId="0" borderId="3" xfId="0" applyNumberFormat="1" applyFont="1" applyFill="1" applyBorder="1"/>
    <xf numFmtId="0" fontId="8" fillId="0" borderId="1" xfId="0" applyFont="1" applyBorder="1"/>
    <xf numFmtId="44" fontId="8" fillId="0" borderId="10" xfId="2" applyFont="1" applyBorder="1"/>
    <xf numFmtId="44" fontId="8" fillId="0" borderId="11" xfId="0" applyNumberFormat="1" applyFont="1" applyBorder="1"/>
    <xf numFmtId="44" fontId="40" fillId="0" borderId="1" xfId="2" applyFont="1" applyFill="1" applyBorder="1"/>
    <xf numFmtId="44" fontId="33" fillId="0" borderId="0" xfId="0" applyNumberFormat="1" applyFont="1" applyFill="1" applyBorder="1"/>
    <xf numFmtId="0" fontId="40" fillId="0" borderId="1" xfId="0" applyFont="1" applyFill="1" applyBorder="1"/>
    <xf numFmtId="44" fontId="40" fillId="0" borderId="3" xfId="0" applyNumberFormat="1" applyFont="1" applyFill="1" applyBorder="1"/>
    <xf numFmtId="44" fontId="40" fillId="0" borderId="37" xfId="0" applyNumberFormat="1" applyFont="1" applyFill="1" applyBorder="1"/>
    <xf numFmtId="44" fontId="40" fillId="0" borderId="3" xfId="2" applyFont="1" applyFill="1" applyBorder="1"/>
    <xf numFmtId="0" fontId="40" fillId="0" borderId="3" xfId="0" applyFont="1" applyFill="1" applyBorder="1"/>
    <xf numFmtId="0" fontId="33" fillId="2" borderId="0" xfId="0" applyFont="1" applyFill="1"/>
    <xf numFmtId="44" fontId="40" fillId="0" borderId="1" xfId="2" applyFont="1" applyBorder="1"/>
    <xf numFmtId="44" fontId="40" fillId="0" borderId="3" xfId="0" applyNumberFormat="1" applyFont="1" applyBorder="1"/>
    <xf numFmtId="0" fontId="40" fillId="0" borderId="1" xfId="0" applyFont="1" applyBorder="1"/>
    <xf numFmtId="0" fontId="45" fillId="2" borderId="0" xfId="0" applyFont="1" applyFill="1"/>
    <xf numFmtId="0" fontId="40" fillId="0" borderId="19" xfId="0" applyFont="1" applyBorder="1"/>
    <xf numFmtId="44" fontId="40" fillId="0" borderId="20" xfId="2" applyFont="1" applyBorder="1"/>
    <xf numFmtId="0" fontId="46" fillId="0" borderId="0" xfId="0" applyFont="1" applyAlignment="1"/>
    <xf numFmtId="0" fontId="40" fillId="0" borderId="0" xfId="0" applyFont="1"/>
    <xf numFmtId="44" fontId="40" fillId="0" borderId="1" xfId="0" applyNumberFormat="1" applyFont="1" applyBorder="1"/>
    <xf numFmtId="0" fontId="7" fillId="0" borderId="1" xfId="0" applyFont="1" applyBorder="1"/>
    <xf numFmtId="0" fontId="46" fillId="0" borderId="0" xfId="0" applyFont="1"/>
    <xf numFmtId="0" fontId="6" fillId="0" borderId="1" xfId="0" applyFont="1" applyBorder="1"/>
    <xf numFmtId="44" fontId="6" fillId="0" borderId="1" xfId="2" applyFont="1" applyBorder="1"/>
    <xf numFmtId="44" fontId="6" fillId="0" borderId="3" xfId="0" applyNumberFormat="1" applyFont="1" applyBorder="1"/>
    <xf numFmtId="44" fontId="6" fillId="0" borderId="1" xfId="0" applyNumberFormat="1" applyFont="1" applyBorder="1"/>
    <xf numFmtId="44" fontId="6" fillId="0" borderId="3" xfId="0" applyNumberFormat="1" applyFont="1" applyFill="1" applyBorder="1"/>
    <xf numFmtId="0" fontId="6" fillId="0" borderId="1" xfId="0" applyFont="1" applyFill="1" applyBorder="1"/>
    <xf numFmtId="44" fontId="6" fillId="0" borderId="1" xfId="2" applyFont="1" applyFill="1" applyBorder="1"/>
    <xf numFmtId="44" fontId="6" fillId="0" borderId="37" xfId="0" applyNumberFormat="1" applyFont="1" applyFill="1" applyBorder="1"/>
    <xf numFmtId="0" fontId="6" fillId="2" borderId="1" xfId="0" applyFont="1" applyFill="1" applyBorder="1"/>
    <xf numFmtId="44" fontId="6" fillId="0" borderId="1" xfId="0" applyNumberFormat="1" applyFont="1" applyFill="1" applyBorder="1"/>
    <xf numFmtId="0" fontId="6" fillId="0" borderId="20" xfId="0" applyFont="1" applyFill="1" applyBorder="1"/>
    <xf numFmtId="0" fontId="31" fillId="0" borderId="1" xfId="0" applyFont="1" applyBorder="1"/>
    <xf numFmtId="0" fontId="38" fillId="0" borderId="1" xfId="0" applyFont="1" applyBorder="1"/>
    <xf numFmtId="0" fontId="31" fillId="0" borderId="1" xfId="0" applyFont="1" applyBorder="1" applyAlignment="1">
      <alignment vertical="center"/>
    </xf>
    <xf numFmtId="0" fontId="34" fillId="0" borderId="1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31" fillId="3" borderId="1" xfId="0" applyFont="1" applyFill="1" applyBorder="1"/>
    <xf numFmtId="0" fontId="35" fillId="3" borderId="1" xfId="0" applyFont="1" applyFill="1" applyBorder="1"/>
    <xf numFmtId="0" fontId="50" fillId="0" borderId="0" xfId="0" applyFont="1" applyAlignment="1">
      <alignment horizontal="right"/>
    </xf>
    <xf numFmtId="0" fontId="6" fillId="0" borderId="0" xfId="0" applyFont="1" applyFill="1"/>
    <xf numFmtId="0" fontId="4" fillId="0" borderId="1" xfId="0" applyFont="1" applyFill="1" applyBorder="1"/>
    <xf numFmtId="44" fontId="40" fillId="3" borderId="1" xfId="2" applyFont="1" applyFill="1" applyBorder="1"/>
    <xf numFmtId="44" fontId="33" fillId="3" borderId="0" xfId="2" applyFont="1" applyFill="1" applyBorder="1"/>
    <xf numFmtId="0" fontId="4" fillId="0" borderId="1" xfId="0" applyFont="1" applyBorder="1"/>
    <xf numFmtId="0" fontId="4" fillId="0" borderId="1" xfId="0" applyFont="1" applyFill="1" applyBorder="1" applyAlignment="1">
      <alignment wrapText="1"/>
    </xf>
    <xf numFmtId="44" fontId="3" fillId="0" borderId="3" xfId="0" applyNumberFormat="1" applyFont="1" applyBorder="1"/>
    <xf numFmtId="44" fontId="51" fillId="0" borderId="3" xfId="0" applyNumberFormat="1" applyFont="1" applyBorder="1"/>
    <xf numFmtId="0" fontId="53" fillId="0" borderId="0" xfId="0" applyFont="1" applyAlignment="1">
      <alignment vertical="center"/>
    </xf>
    <xf numFmtId="0" fontId="52" fillId="0" borderId="0" xfId="0" applyFont="1" applyAlignment="1">
      <alignment vertical="center"/>
    </xf>
    <xf numFmtId="17" fontId="53" fillId="0" borderId="0" xfId="0" applyNumberFormat="1" applyFont="1" applyAlignment="1">
      <alignment horizontal="left" vertical="center"/>
    </xf>
    <xf numFmtId="0" fontId="55" fillId="0" borderId="0" xfId="0" applyFont="1"/>
    <xf numFmtId="0" fontId="44" fillId="0" borderId="17" xfId="0" applyFont="1" applyFill="1" applyBorder="1" applyAlignment="1">
      <alignment horizontal="left"/>
    </xf>
    <xf numFmtId="0" fontId="44" fillId="0" borderId="14" xfId="0" applyFont="1" applyFill="1" applyBorder="1" applyAlignment="1">
      <alignment horizontal="left"/>
    </xf>
    <xf numFmtId="0" fontId="44" fillId="0" borderId="50" xfId="0" applyFont="1" applyFill="1" applyBorder="1" applyAlignment="1">
      <alignment horizontal="left"/>
    </xf>
    <xf numFmtId="0" fontId="38" fillId="12" borderId="48" xfId="0" applyFont="1" applyFill="1" applyBorder="1"/>
    <xf numFmtId="0" fontId="56" fillId="0" borderId="46" xfId="0" applyFont="1" applyBorder="1" applyAlignment="1">
      <alignment vertical="top"/>
    </xf>
    <xf numFmtId="0" fontId="56" fillId="0" borderId="47" xfId="0" applyFont="1" applyBorder="1" applyAlignment="1">
      <alignment vertical="top" wrapText="1"/>
    </xf>
    <xf numFmtId="0" fontId="56" fillId="0" borderId="48" xfId="0" applyFont="1" applyBorder="1" applyAlignment="1">
      <alignment vertical="top" wrapText="1"/>
    </xf>
    <xf numFmtId="0" fontId="57" fillId="0" borderId="0" xfId="0" applyFont="1"/>
    <xf numFmtId="0" fontId="56" fillId="8" borderId="46" xfId="0" applyFont="1" applyFill="1" applyBorder="1" applyAlignment="1">
      <alignment horizontal="left"/>
    </xf>
    <xf numFmtId="0" fontId="56" fillId="8" borderId="47" xfId="0" applyFont="1" applyFill="1" applyBorder="1" applyAlignment="1">
      <alignment horizontal="left"/>
    </xf>
    <xf numFmtId="0" fontId="56" fillId="8" borderId="48" xfId="0" applyFont="1" applyFill="1" applyBorder="1" applyAlignment="1">
      <alignment horizontal="left"/>
    </xf>
    <xf numFmtId="0" fontId="57" fillId="0" borderId="19" xfId="0" applyFont="1" applyBorder="1" applyAlignment="1">
      <alignment wrapText="1"/>
    </xf>
    <xf numFmtId="44" fontId="57" fillId="2" borderId="1" xfId="2" applyFont="1" applyFill="1" applyBorder="1"/>
    <xf numFmtId="44" fontId="57" fillId="2" borderId="20" xfId="2" applyFont="1" applyFill="1" applyBorder="1"/>
    <xf numFmtId="0" fontId="57" fillId="0" borderId="35" xfId="0" applyFont="1" applyBorder="1"/>
    <xf numFmtId="44" fontId="57" fillId="2" borderId="10" xfId="2" applyFont="1" applyFill="1" applyBorder="1"/>
    <xf numFmtId="44" fontId="57" fillId="2" borderId="36" xfId="2" applyFont="1" applyFill="1" applyBorder="1"/>
    <xf numFmtId="0" fontId="56" fillId="0" borderId="46" xfId="0" applyFont="1" applyBorder="1"/>
    <xf numFmtId="164" fontId="56" fillId="2" borderId="47" xfId="0" applyNumberFormat="1" applyFont="1" applyFill="1" applyBorder="1"/>
    <xf numFmtId="164" fontId="56" fillId="2" borderId="48" xfId="0" applyNumberFormat="1" applyFont="1" applyFill="1" applyBorder="1"/>
    <xf numFmtId="0" fontId="56" fillId="9" borderId="21" xfId="0" applyFont="1" applyFill="1" applyBorder="1" applyAlignment="1">
      <alignment horizontal="left"/>
    </xf>
    <xf numFmtId="0" fontId="56" fillId="9" borderId="25" xfId="0" applyFont="1" applyFill="1" applyBorder="1" applyAlignment="1">
      <alignment horizontal="left"/>
    </xf>
    <xf numFmtId="0" fontId="56" fillId="9" borderId="22" xfId="0" applyFont="1" applyFill="1" applyBorder="1" applyAlignment="1">
      <alignment horizontal="left"/>
    </xf>
    <xf numFmtId="0" fontId="56" fillId="0" borderId="19" xfId="0" applyFont="1" applyBorder="1" applyAlignment="1">
      <alignment wrapText="1"/>
    </xf>
    <xf numFmtId="44" fontId="57" fillId="2" borderId="1" xfId="2" applyFont="1" applyFill="1" applyBorder="1" applyAlignment="1">
      <alignment horizontal="right"/>
    </xf>
    <xf numFmtId="44" fontId="57" fillId="2" borderId="20" xfId="2" applyFont="1" applyFill="1" applyBorder="1" applyAlignment="1">
      <alignment horizontal="right"/>
    </xf>
    <xf numFmtId="0" fontId="58" fillId="0" borderId="19" xfId="0" applyFont="1" applyFill="1" applyBorder="1" applyAlignment="1">
      <alignment horizontal="left"/>
    </xf>
    <xf numFmtId="44" fontId="58" fillId="0" borderId="1" xfId="2" applyFont="1" applyFill="1" applyBorder="1" applyAlignment="1">
      <alignment horizontal="right"/>
    </xf>
    <xf numFmtId="44" fontId="58" fillId="0" borderId="20" xfId="2" applyFont="1" applyFill="1" applyBorder="1" applyAlignment="1">
      <alignment horizontal="right"/>
    </xf>
    <xf numFmtId="0" fontId="57" fillId="0" borderId="19" xfId="0" applyFont="1" applyBorder="1"/>
    <xf numFmtId="44" fontId="57" fillId="0" borderId="1" xfId="2" applyFont="1" applyBorder="1" applyAlignment="1">
      <alignment horizontal="right"/>
    </xf>
    <xf numFmtId="44" fontId="57" fillId="0" borderId="20" xfId="2" applyFont="1" applyBorder="1" applyAlignment="1">
      <alignment horizontal="right"/>
    </xf>
    <xf numFmtId="0" fontId="57" fillId="0" borderId="23" xfId="0" applyFont="1" applyBorder="1"/>
    <xf numFmtId="44" fontId="57" fillId="0" borderId="28" xfId="2" applyFont="1" applyBorder="1" applyAlignment="1">
      <alignment horizontal="right"/>
    </xf>
    <xf numFmtId="44" fontId="57" fillId="0" borderId="24" xfId="2" applyFont="1" applyBorder="1" applyAlignment="1">
      <alignment horizontal="right"/>
    </xf>
    <xf numFmtId="164" fontId="56" fillId="0" borderId="47" xfId="0" applyNumberFormat="1" applyFont="1" applyBorder="1"/>
    <xf numFmtId="164" fontId="56" fillId="0" borderId="48" xfId="0" applyNumberFormat="1" applyFont="1" applyBorder="1"/>
    <xf numFmtId="0" fontId="2" fillId="0" borderId="1" xfId="0" applyFont="1" applyBorder="1" applyAlignment="1">
      <alignment wrapText="1"/>
    </xf>
    <xf numFmtId="44" fontId="38" fillId="0" borderId="0" xfId="0" applyNumberFormat="1" applyFont="1"/>
    <xf numFmtId="44" fontId="35" fillId="0" borderId="0" xfId="0" applyNumberFormat="1" applyFont="1"/>
    <xf numFmtId="164" fontId="38" fillId="0" borderId="0" xfId="0" applyNumberFormat="1" applyFont="1"/>
    <xf numFmtId="164" fontId="35" fillId="0" borderId="0" xfId="0" applyNumberFormat="1" applyFont="1"/>
    <xf numFmtId="0" fontId="36" fillId="8" borderId="46" xfId="0" applyFont="1" applyFill="1" applyBorder="1" applyAlignment="1">
      <alignment horizontal="left"/>
    </xf>
    <xf numFmtId="0" fontId="36" fillId="8" borderId="47" xfId="0" applyFont="1" applyFill="1" applyBorder="1" applyAlignment="1">
      <alignment horizontal="left"/>
    </xf>
    <xf numFmtId="0" fontId="36" fillId="8" borderId="48" xfId="0" applyFont="1" applyFill="1" applyBorder="1" applyAlignment="1">
      <alignment horizontal="left"/>
    </xf>
    <xf numFmtId="0" fontId="36" fillId="0" borderId="17" xfId="0" applyFont="1" applyFill="1" applyBorder="1" applyAlignment="1">
      <alignment horizontal="left"/>
    </xf>
    <xf numFmtId="0" fontId="36" fillId="0" borderId="14" xfId="0" applyFont="1" applyFill="1" applyBorder="1" applyAlignment="1">
      <alignment horizontal="left"/>
    </xf>
    <xf numFmtId="0" fontId="36" fillId="0" borderId="50" xfId="0" applyFont="1" applyFill="1" applyBorder="1" applyAlignment="1">
      <alignment horizontal="left"/>
    </xf>
    <xf numFmtId="0" fontId="36" fillId="9" borderId="21" xfId="0" applyFont="1" applyFill="1" applyBorder="1" applyAlignment="1">
      <alignment horizontal="left"/>
    </xf>
    <xf numFmtId="0" fontId="36" fillId="9" borderId="25" xfId="0" applyFont="1" applyFill="1" applyBorder="1" applyAlignment="1">
      <alignment horizontal="left"/>
    </xf>
    <xf numFmtId="0" fontId="36" fillId="9" borderId="22" xfId="0" applyFont="1" applyFill="1" applyBorder="1" applyAlignment="1">
      <alignment horizontal="left"/>
    </xf>
    <xf numFmtId="0" fontId="34" fillId="3" borderId="2" xfId="0" applyFont="1" applyFill="1" applyBorder="1" applyAlignment="1">
      <alignment horizontal="left" wrapText="1"/>
    </xf>
    <xf numFmtId="0" fontId="34" fillId="3" borderId="5" xfId="0" applyFont="1" applyFill="1" applyBorder="1" applyAlignment="1">
      <alignment horizontal="left" wrapText="1"/>
    </xf>
    <xf numFmtId="0" fontId="38" fillId="3" borderId="2" xfId="0" applyFont="1" applyFill="1" applyBorder="1" applyAlignment="1">
      <alignment horizontal="right"/>
    </xf>
    <xf numFmtId="0" fontId="38" fillId="3" borderId="5" xfId="0" applyFont="1" applyFill="1" applyBorder="1" applyAlignment="1">
      <alignment horizontal="right"/>
    </xf>
    <xf numFmtId="0" fontId="49" fillId="0" borderId="7" xfId="0" applyFont="1" applyBorder="1" applyAlignment="1">
      <alignment horizontal="left" vertical="center"/>
    </xf>
    <xf numFmtId="0" fontId="42" fillId="11" borderId="19" xfId="0" applyFont="1" applyFill="1" applyBorder="1" applyAlignment="1">
      <alignment horizontal="left"/>
    </xf>
    <xf numFmtId="0" fontId="42" fillId="11" borderId="1" xfId="0" applyFont="1" applyFill="1" applyBorder="1" applyAlignment="1">
      <alignment horizontal="left"/>
    </xf>
    <xf numFmtId="0" fontId="42" fillId="11" borderId="20" xfId="0" applyFont="1" applyFill="1" applyBorder="1" applyAlignment="1">
      <alignment horizontal="left"/>
    </xf>
    <xf numFmtId="0" fontId="30" fillId="0" borderId="9" xfId="0" applyFont="1" applyBorder="1" applyAlignment="1">
      <alignment horizontal="left"/>
    </xf>
    <xf numFmtId="0" fontId="30" fillId="0" borderId="4" xfId="0" applyFont="1" applyBorder="1" applyAlignment="1">
      <alignment horizontal="left"/>
    </xf>
    <xf numFmtId="0" fontId="34" fillId="10" borderId="17" xfId="0" applyFont="1" applyFill="1" applyBorder="1" applyAlignment="1">
      <alignment horizontal="left"/>
    </xf>
    <xf numFmtId="0" fontId="34" fillId="10" borderId="14" xfId="0" applyFont="1" applyFill="1" applyBorder="1" applyAlignment="1">
      <alignment horizontal="left"/>
    </xf>
    <xf numFmtId="0" fontId="34" fillId="10" borderId="13" xfId="0" applyFont="1" applyFill="1" applyBorder="1" applyAlignment="1">
      <alignment horizontal="left"/>
    </xf>
    <xf numFmtId="0" fontId="34" fillId="0" borderId="17" xfId="0" applyFont="1" applyBorder="1" applyAlignment="1">
      <alignment horizontal="left"/>
    </xf>
    <xf numFmtId="0" fontId="34" fillId="0" borderId="14" xfId="0" applyFont="1" applyBorder="1" applyAlignment="1">
      <alignment horizontal="left"/>
    </xf>
    <xf numFmtId="0" fontId="34" fillId="9" borderId="18" xfId="0" applyFont="1" applyFill="1" applyBorder="1" applyAlignment="1">
      <alignment horizontal="left"/>
    </xf>
    <xf numFmtId="0" fontId="34" fillId="9" borderId="38" xfId="0" applyFont="1" applyFill="1" applyBorder="1" applyAlignment="1">
      <alignment horizontal="left"/>
    </xf>
    <xf numFmtId="0" fontId="34" fillId="9" borderId="39" xfId="0" applyFont="1" applyFill="1" applyBorder="1" applyAlignment="1">
      <alignment horizontal="left"/>
    </xf>
    <xf numFmtId="0" fontId="30" fillId="0" borderId="8" xfId="0" applyFont="1" applyBorder="1" applyAlignment="1">
      <alignment horizontal="center"/>
    </xf>
    <xf numFmtId="0" fontId="30" fillId="0" borderId="0" xfId="0" applyFont="1" applyBorder="1" applyAlignment="1">
      <alignment horizontal="center"/>
    </xf>
    <xf numFmtId="0" fontId="30" fillId="0" borderId="51" xfId="0" applyFont="1" applyBorder="1" applyAlignment="1">
      <alignment horizontal="center"/>
    </xf>
    <xf numFmtId="0" fontId="30" fillId="0" borderId="40" xfId="0" applyFont="1" applyBorder="1" applyAlignment="1">
      <alignment horizontal="left"/>
    </xf>
    <xf numFmtId="0" fontId="30" fillId="0" borderId="52" xfId="0" applyFont="1" applyBorder="1" applyAlignment="1">
      <alignment horizontal="left"/>
    </xf>
    <xf numFmtId="0" fontId="42" fillId="11" borderId="21" xfId="0" applyFont="1" applyFill="1" applyBorder="1" applyAlignment="1">
      <alignment horizontal="left"/>
    </xf>
    <xf numFmtId="0" fontId="42" fillId="11" borderId="25" xfId="0" applyFont="1" applyFill="1" applyBorder="1" applyAlignment="1">
      <alignment horizontal="left"/>
    </xf>
    <xf numFmtId="0" fontId="42" fillId="11" borderId="22" xfId="0" applyFont="1" applyFill="1" applyBorder="1" applyAlignment="1">
      <alignment horizontal="left"/>
    </xf>
    <xf numFmtId="0" fontId="42" fillId="11" borderId="33" xfId="0" applyFont="1" applyFill="1" applyBorder="1" applyAlignment="1">
      <alignment horizontal="left"/>
    </xf>
    <xf numFmtId="0" fontId="42" fillId="11" borderId="49" xfId="0" applyFont="1" applyFill="1" applyBorder="1" applyAlignment="1">
      <alignment horizontal="left"/>
    </xf>
    <xf numFmtId="0" fontId="42" fillId="11" borderId="32" xfId="0" applyFont="1" applyFill="1" applyBorder="1" applyAlignment="1">
      <alignment horizontal="left"/>
    </xf>
    <xf numFmtId="164" fontId="31" fillId="0" borderId="2" xfId="0" quotePrefix="1" applyNumberFormat="1" applyFont="1" applyBorder="1" applyAlignment="1">
      <alignment horizontal="center" wrapText="1"/>
    </xf>
    <xf numFmtId="164" fontId="31" fillId="0" borderId="27" xfId="0" quotePrefix="1" applyNumberFormat="1" applyFont="1" applyBorder="1" applyAlignment="1">
      <alignment horizontal="center" wrapText="1"/>
    </xf>
    <xf numFmtId="164" fontId="31" fillId="0" borderId="5" xfId="0" quotePrefix="1" applyNumberFormat="1" applyFont="1" applyBorder="1" applyAlignment="1">
      <alignment horizontal="center" wrapText="1"/>
    </xf>
    <xf numFmtId="0" fontId="39" fillId="6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0" fontId="31" fillId="0" borderId="0" xfId="0" applyFont="1" applyAlignment="1">
      <alignment horizontal="left" vertical="top" wrapText="1"/>
    </xf>
    <xf numFmtId="0" fontId="34" fillId="3" borderId="30" xfId="0" applyFont="1" applyFill="1" applyBorder="1" applyAlignment="1">
      <alignment horizontal="left"/>
    </xf>
    <xf numFmtId="0" fontId="34" fillId="3" borderId="55" xfId="0" applyFont="1" applyFill="1" applyBorder="1" applyAlignment="1">
      <alignment horizontal="left"/>
    </xf>
    <xf numFmtId="0" fontId="34" fillId="3" borderId="33" xfId="0" applyFont="1" applyFill="1" applyBorder="1" applyAlignment="1">
      <alignment horizontal="left"/>
    </xf>
    <xf numFmtId="0" fontId="34" fillId="3" borderId="54" xfId="0" applyFont="1" applyFill="1" applyBorder="1" applyAlignment="1">
      <alignment horizontal="left"/>
    </xf>
    <xf numFmtId="0" fontId="34" fillId="0" borderId="2" xfId="0" applyFont="1" applyBorder="1" applyAlignment="1">
      <alignment horizontal="left"/>
    </xf>
    <xf numFmtId="0" fontId="34" fillId="0" borderId="5" xfId="0" applyFont="1" applyBorder="1" applyAlignment="1">
      <alignment horizontal="left"/>
    </xf>
    <xf numFmtId="0" fontId="34" fillId="0" borderId="2" xfId="0" applyFont="1" applyBorder="1" applyAlignment="1">
      <alignment horizontal="center" wrapText="1"/>
    </xf>
    <xf numFmtId="0" fontId="34" fillId="0" borderId="5" xfId="0" applyFont="1" applyBorder="1" applyAlignment="1">
      <alignment horizontal="center" wrapText="1"/>
    </xf>
    <xf numFmtId="0" fontId="41" fillId="0" borderId="0" xfId="0" applyFont="1" applyBorder="1" applyAlignment="1">
      <alignment horizontal="center" wrapText="1"/>
    </xf>
    <xf numFmtId="0" fontId="41" fillId="0" borderId="0" xfId="0" applyFont="1" applyAlignment="1">
      <alignment horizontal="center" wrapText="1"/>
    </xf>
    <xf numFmtId="0" fontId="36" fillId="7" borderId="17" xfId="0" applyFont="1" applyFill="1" applyBorder="1" applyAlignment="1">
      <alignment horizontal="left"/>
    </xf>
    <xf numFmtId="0" fontId="36" fillId="7" borderId="14" xfId="0" applyFont="1" applyFill="1" applyBorder="1" applyAlignment="1">
      <alignment horizontal="left"/>
    </xf>
    <xf numFmtId="0" fontId="36" fillId="7" borderId="13" xfId="0" applyFont="1" applyFill="1" applyBorder="1" applyAlignment="1">
      <alignment horizontal="left"/>
    </xf>
    <xf numFmtId="0" fontId="36" fillId="7" borderId="18" xfId="0" applyFont="1" applyFill="1" applyBorder="1" applyAlignment="1">
      <alignment horizontal="left"/>
    </xf>
    <xf numFmtId="0" fontId="36" fillId="7" borderId="38" xfId="0" applyFont="1" applyFill="1" applyBorder="1" applyAlignment="1">
      <alignment horizontal="left"/>
    </xf>
    <xf numFmtId="0" fontId="36" fillId="7" borderId="39" xfId="0" applyFont="1" applyFill="1" applyBorder="1" applyAlignment="1">
      <alignment horizontal="left"/>
    </xf>
    <xf numFmtId="0" fontId="36" fillId="8" borderId="18" xfId="0" applyFont="1" applyFill="1" applyBorder="1" applyAlignment="1">
      <alignment horizontal="center"/>
    </xf>
    <xf numFmtId="0" fontId="36" fillId="8" borderId="38" xfId="0" applyFont="1" applyFill="1" applyBorder="1" applyAlignment="1">
      <alignment horizontal="center"/>
    </xf>
    <xf numFmtId="6" fontId="38" fillId="0" borderId="1" xfId="0" applyNumberFormat="1" applyFont="1" applyBorder="1" applyAlignment="1">
      <alignment horizontal="right"/>
    </xf>
    <xf numFmtId="6" fontId="38" fillId="0" borderId="20" xfId="0" applyNumberFormat="1" applyFont="1" applyBorder="1" applyAlignment="1">
      <alignment horizontal="right"/>
    </xf>
    <xf numFmtId="44" fontId="36" fillId="0" borderId="28" xfId="2" applyFont="1" applyBorder="1" applyAlignment="1">
      <alignment horizontal="right"/>
    </xf>
    <xf numFmtId="44" fontId="36" fillId="0" borderId="24" xfId="2" applyFont="1" applyBorder="1" applyAlignment="1">
      <alignment horizontal="right"/>
    </xf>
    <xf numFmtId="0" fontId="36" fillId="8" borderId="17" xfId="0" applyFont="1" applyFill="1" applyBorder="1" applyAlignment="1">
      <alignment horizontal="center"/>
    </xf>
    <xf numFmtId="0" fontId="36" fillId="8" borderId="14" xfId="0" applyFont="1" applyFill="1" applyBorder="1" applyAlignment="1">
      <alignment horizontal="center"/>
    </xf>
    <xf numFmtId="0" fontId="36" fillId="8" borderId="13" xfId="0" applyFont="1" applyFill="1" applyBorder="1" applyAlignment="1">
      <alignment horizontal="center"/>
    </xf>
    <xf numFmtId="0" fontId="36" fillId="0" borderId="46" xfId="0" applyFont="1" applyBorder="1" applyAlignment="1">
      <alignment horizontal="left" wrapText="1"/>
    </xf>
    <xf numFmtId="0" fontId="36" fillId="0" borderId="47" xfId="0" applyFont="1" applyBorder="1" applyAlignment="1">
      <alignment horizontal="left" wrapText="1"/>
    </xf>
    <xf numFmtId="0" fontId="35" fillId="0" borderId="10" xfId="0" applyFont="1" applyBorder="1" applyAlignment="1">
      <alignment horizontal="left" vertical="top" wrapText="1"/>
    </xf>
    <xf numFmtId="0" fontId="35" fillId="0" borderId="11" xfId="0" applyFont="1" applyBorder="1" applyAlignment="1">
      <alignment horizontal="left" vertical="top" wrapText="1"/>
    </xf>
    <xf numFmtId="0" fontId="35" fillId="0" borderId="3" xfId="0" applyFont="1" applyBorder="1" applyAlignment="1">
      <alignment horizontal="left" vertical="top" wrapText="1"/>
    </xf>
    <xf numFmtId="0" fontId="35" fillId="0" borderId="0" xfId="0" applyFont="1" applyAlignment="1">
      <alignment horizontal="center" vertical="center" wrapText="1"/>
    </xf>
    <xf numFmtId="0" fontId="35" fillId="0" borderId="1" xfId="0" applyFont="1" applyBorder="1" applyAlignment="1">
      <alignment horizontal="center"/>
    </xf>
    <xf numFmtId="0" fontId="35" fillId="5" borderId="6" xfId="0" applyFont="1" applyFill="1" applyBorder="1" applyAlignment="1">
      <alignment horizontal="center" vertical="center"/>
    </xf>
    <xf numFmtId="0" fontId="35" fillId="5" borderId="7" xfId="0" applyFont="1" applyFill="1" applyBorder="1" applyAlignment="1">
      <alignment horizontal="center" vertical="center"/>
    </xf>
    <xf numFmtId="0" fontId="35" fillId="5" borderId="8" xfId="0" applyFont="1" applyFill="1" applyBorder="1" applyAlignment="1">
      <alignment horizontal="center" vertical="center"/>
    </xf>
    <xf numFmtId="0" fontId="35" fillId="5" borderId="0" xfId="0" applyFont="1" applyFill="1" applyBorder="1" applyAlignment="1">
      <alignment horizontal="center" vertical="center"/>
    </xf>
    <xf numFmtId="0" fontId="35" fillId="5" borderId="9" xfId="0" applyFont="1" applyFill="1" applyBorder="1" applyAlignment="1">
      <alignment horizontal="center" vertical="center"/>
    </xf>
    <xf numFmtId="0" fontId="35" fillId="5" borderId="4" xfId="0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/>
    </xf>
    <xf numFmtId="0" fontId="35" fillId="5" borderId="1" xfId="0" applyFont="1" applyFill="1" applyBorder="1" applyAlignment="1">
      <alignment horizontal="center"/>
    </xf>
    <xf numFmtId="0" fontId="1" fillId="0" borderId="0" xfId="0" applyFont="1"/>
  </cellXfs>
  <cellStyles count="4">
    <cellStyle name="Komma" xfId="3" builtinId="3"/>
    <cellStyle name="Prozent" xfId="1" builtinId="5"/>
    <cellStyle name="Standard" xfId="0" builtinId="0"/>
    <cellStyle name="Währung" xfId="2" builtinId="4"/>
  </cellStyles>
  <dxfs count="0"/>
  <tableStyles count="0" defaultTableStyle="TableStyleMedium2" defaultPivotStyle="PivotStyleLight16"/>
  <colors>
    <mruColors>
      <color rgb="FFFFFF00"/>
      <color rgb="FFCCFF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32"/>
  <sheetViews>
    <sheetView tabSelected="1" zoomScaleNormal="100" workbookViewId="0">
      <selection activeCell="I17" sqref="I17:I19"/>
    </sheetView>
  </sheetViews>
  <sheetFormatPr baseColWidth="10" defaultColWidth="11.5546875" defaultRowHeight="15.75" x14ac:dyDescent="0.25"/>
  <cols>
    <col min="1" max="1" width="4.77734375" style="2" customWidth="1"/>
    <col min="2" max="2" width="25.5546875" style="2" customWidth="1"/>
    <col min="3" max="5" width="11.5546875" style="2"/>
    <col min="6" max="6" width="2.5546875" style="2" customWidth="1"/>
    <col min="7" max="7" width="2.88671875" style="2" customWidth="1"/>
    <col min="8" max="8" width="6.21875" style="2" customWidth="1"/>
    <col min="9" max="9" width="11.5546875" style="2"/>
    <col min="10" max="10" width="3.44140625" style="2" customWidth="1"/>
    <col min="11" max="11" width="25.6640625" style="2" customWidth="1"/>
    <col min="12" max="13" width="11.88671875" style="2" bestFit="1" customWidth="1"/>
    <col min="14" max="14" width="11.6640625" style="2" bestFit="1" customWidth="1"/>
    <col min="15" max="16384" width="11.5546875" style="2"/>
  </cols>
  <sheetData>
    <row r="1" spans="2:14" x14ac:dyDescent="0.25">
      <c r="K1" s="248"/>
      <c r="L1" s="248"/>
      <c r="M1" s="248"/>
      <c r="N1" s="248"/>
    </row>
    <row r="2" spans="2:14" x14ac:dyDescent="0.25">
      <c r="B2" s="76" t="s">
        <v>198</v>
      </c>
      <c r="K2" s="356" t="s">
        <v>248</v>
      </c>
      <c r="L2" s="248"/>
      <c r="M2" s="248"/>
      <c r="N2" s="248"/>
    </row>
    <row r="3" spans="2:14" ht="16.5" thickBot="1" x14ac:dyDescent="0.3">
      <c r="K3" s="248"/>
      <c r="L3" s="248"/>
      <c r="M3" s="248"/>
      <c r="N3" s="248"/>
    </row>
    <row r="4" spans="2:14" ht="16.5" hidden="1" customHeight="1" thickBot="1" x14ac:dyDescent="0.3">
      <c r="B4" s="402" t="s">
        <v>128</v>
      </c>
      <c r="C4" s="403"/>
      <c r="D4" s="404"/>
      <c r="E4" s="205">
        <f>REV_Fees!Q16</f>
        <v>250</v>
      </c>
      <c r="K4" s="357" t="s">
        <v>128</v>
      </c>
      <c r="L4" s="358"/>
      <c r="M4" s="359"/>
      <c r="N4" s="360">
        <v>269</v>
      </c>
    </row>
    <row r="5" spans="2:14" ht="15.75" hidden="1" customHeight="1" x14ac:dyDescent="0.25">
      <c r="K5" s="248"/>
      <c r="L5" s="248"/>
      <c r="M5" s="248"/>
      <c r="N5" s="248"/>
    </row>
    <row r="6" spans="2:14" ht="16.5" hidden="1" customHeight="1" thickBot="1" x14ac:dyDescent="0.3">
      <c r="K6" s="248"/>
      <c r="L6" s="248"/>
      <c r="M6" s="248"/>
      <c r="N6" s="248"/>
    </row>
    <row r="7" spans="2:14" ht="32.25" thickBot="1" x14ac:dyDescent="0.3">
      <c r="B7" s="170" t="s">
        <v>112</v>
      </c>
      <c r="C7" s="210" t="s">
        <v>168</v>
      </c>
      <c r="D7" s="210" t="s">
        <v>187</v>
      </c>
      <c r="E7" s="169" t="s">
        <v>188</v>
      </c>
      <c r="H7" s="408" t="s">
        <v>258</v>
      </c>
      <c r="I7" s="409"/>
      <c r="K7" s="361" t="s">
        <v>112</v>
      </c>
      <c r="L7" s="362" t="s">
        <v>168</v>
      </c>
      <c r="M7" s="362" t="s">
        <v>187</v>
      </c>
      <c r="N7" s="363" t="s">
        <v>188</v>
      </c>
    </row>
    <row r="8" spans="2:14" ht="16.5" thickBot="1" x14ac:dyDescent="0.3">
      <c r="H8" s="410" t="s">
        <v>229</v>
      </c>
      <c r="I8" s="411"/>
      <c r="K8" s="364"/>
      <c r="L8" s="364"/>
      <c r="M8" s="364"/>
      <c r="N8" s="364"/>
    </row>
    <row r="9" spans="2:14" ht="16.5" thickBot="1" x14ac:dyDescent="0.3">
      <c r="B9" s="399" t="s">
        <v>82</v>
      </c>
      <c r="C9" s="400"/>
      <c r="D9" s="400"/>
      <c r="E9" s="401"/>
      <c r="H9" s="342">
        <v>200</v>
      </c>
      <c r="I9" s="343"/>
      <c r="K9" s="365" t="s">
        <v>82</v>
      </c>
      <c r="L9" s="366"/>
      <c r="M9" s="366"/>
      <c r="N9" s="367"/>
    </row>
    <row r="10" spans="2:14" x14ac:dyDescent="0.25">
      <c r="B10" s="78" t="s">
        <v>83</v>
      </c>
      <c r="C10" s="185">
        <f>REV_Fees!V16</f>
        <v>153514.03950000001</v>
      </c>
      <c r="D10" s="185">
        <f>REV_Fees!V16</f>
        <v>153514.03950000001</v>
      </c>
      <c r="E10" s="186">
        <f>D10-C10</f>
        <v>0</v>
      </c>
      <c r="H10" s="342">
        <v>250</v>
      </c>
      <c r="I10" s="343">
        <v>1</v>
      </c>
      <c r="K10" s="368" t="s">
        <v>83</v>
      </c>
      <c r="L10" s="369">
        <v>110559.23</v>
      </c>
      <c r="M10" s="369">
        <v>131948.51</v>
      </c>
      <c r="N10" s="370">
        <v>21389.280000000013</v>
      </c>
    </row>
    <row r="11" spans="2:14" ht="16.5" thickBot="1" x14ac:dyDescent="0.3">
      <c r="B11" s="172" t="s">
        <v>159</v>
      </c>
      <c r="C11" s="187">
        <f>REV_Sponsoring!I7</f>
        <v>95000</v>
      </c>
      <c r="D11" s="187">
        <f>REV_Sponsoring!I8</f>
        <v>0</v>
      </c>
      <c r="E11" s="188">
        <f>D11-C11</f>
        <v>-95000</v>
      </c>
      <c r="H11" s="342">
        <v>300</v>
      </c>
      <c r="I11" s="343"/>
      <c r="K11" s="371" t="s">
        <v>159</v>
      </c>
      <c r="L11" s="372">
        <v>60000</v>
      </c>
      <c r="M11" s="372">
        <v>87800</v>
      </c>
      <c r="N11" s="373">
        <v>27800</v>
      </c>
    </row>
    <row r="12" spans="2:14" ht="16.5" thickBot="1" x14ac:dyDescent="0.3">
      <c r="B12" s="174" t="s">
        <v>1</v>
      </c>
      <c r="C12" s="175">
        <f>SUM(C10:C11)</f>
        <v>248514.03950000001</v>
      </c>
      <c r="D12" s="175">
        <f t="shared" ref="D12:E12" si="0">SUM(D10:D11)</f>
        <v>153514.03950000001</v>
      </c>
      <c r="E12" s="176">
        <f t="shared" si="0"/>
        <v>-95000</v>
      </c>
      <c r="H12" s="342">
        <v>350</v>
      </c>
      <c r="I12" s="343"/>
      <c r="K12" s="374" t="s">
        <v>1</v>
      </c>
      <c r="L12" s="375">
        <v>170559.22999999998</v>
      </c>
      <c r="M12" s="375">
        <v>219748.51</v>
      </c>
      <c r="N12" s="376">
        <v>49189.280000000013</v>
      </c>
    </row>
    <row r="13" spans="2:14" x14ac:dyDescent="0.25">
      <c r="H13" s="412" t="s">
        <v>260</v>
      </c>
      <c r="I13" s="412"/>
      <c r="K13" s="364"/>
      <c r="L13" s="364"/>
      <c r="M13" s="364"/>
      <c r="N13" s="364"/>
    </row>
    <row r="14" spans="2:14" ht="16.5" thickBot="1" x14ac:dyDescent="0.3">
      <c r="I14" s="344">
        <f>REV_Fees!Q16</f>
        <v>250</v>
      </c>
      <c r="K14" s="364"/>
      <c r="L14" s="364"/>
      <c r="M14" s="364"/>
      <c r="N14" s="364"/>
    </row>
    <row r="15" spans="2:14" x14ac:dyDescent="0.25">
      <c r="B15" s="405" t="s">
        <v>90</v>
      </c>
      <c r="C15" s="406"/>
      <c r="D15" s="406"/>
      <c r="E15" s="407"/>
      <c r="K15" s="377" t="s">
        <v>90</v>
      </c>
      <c r="L15" s="378"/>
      <c r="M15" s="378"/>
      <c r="N15" s="379"/>
    </row>
    <row r="16" spans="2:14" x14ac:dyDescent="0.25">
      <c r="B16" s="79" t="s">
        <v>98</v>
      </c>
      <c r="C16" s="177">
        <f>'EXP_Total Expenses'!G24</f>
        <v>82789</v>
      </c>
      <c r="D16" s="177">
        <f>'EXP_Total Expenses'!H24</f>
        <v>0</v>
      </c>
      <c r="E16" s="178">
        <f>'EXP_Total Expenses'!I24</f>
        <v>82789</v>
      </c>
      <c r="K16" s="380" t="s">
        <v>98</v>
      </c>
      <c r="L16" s="381">
        <v>43650</v>
      </c>
      <c r="M16" s="381">
        <v>55542.1</v>
      </c>
      <c r="N16" s="382">
        <v>-11892.099999999999</v>
      </c>
    </row>
    <row r="17" spans="2:14" ht="15" customHeight="1" x14ac:dyDescent="0.25">
      <c r="B17" s="171"/>
      <c r="C17" s="179"/>
      <c r="D17" s="179"/>
      <c r="E17" s="180"/>
      <c r="K17" s="383"/>
      <c r="L17" s="384"/>
      <c r="M17" s="384"/>
      <c r="N17" s="385"/>
    </row>
    <row r="18" spans="2:14" ht="15" customHeight="1" x14ac:dyDescent="0.25">
      <c r="B18" s="79" t="s">
        <v>129</v>
      </c>
      <c r="C18" s="179"/>
      <c r="D18" s="179"/>
      <c r="E18" s="180"/>
      <c r="K18" s="380" t="s">
        <v>129</v>
      </c>
      <c r="L18" s="384"/>
      <c r="M18" s="384"/>
      <c r="N18" s="385"/>
    </row>
    <row r="19" spans="2:14" x14ac:dyDescent="0.25">
      <c r="B19" s="78" t="s">
        <v>100</v>
      </c>
      <c r="C19" s="177">
        <f>'EXP_Total Expenses'!G34</f>
        <v>60078.57</v>
      </c>
      <c r="D19" s="177">
        <f>'EXP_Total Expenses'!H34</f>
        <v>0</v>
      </c>
      <c r="E19" s="178">
        <f>'EXP_Total Expenses'!I34</f>
        <v>60078.57</v>
      </c>
      <c r="K19" s="368" t="s">
        <v>100</v>
      </c>
      <c r="L19" s="381">
        <v>25000</v>
      </c>
      <c r="M19" s="381">
        <v>23708.17</v>
      </c>
      <c r="N19" s="382">
        <v>1291.83</v>
      </c>
    </row>
    <row r="20" spans="2:14" x14ac:dyDescent="0.25">
      <c r="B20" s="78" t="s">
        <v>104</v>
      </c>
      <c r="C20" s="177">
        <f>'EXP_Total Expenses'!G42</f>
        <v>12600</v>
      </c>
      <c r="D20" s="177">
        <f>'EXP_Total Expenses'!H42</f>
        <v>0</v>
      </c>
      <c r="E20" s="178">
        <f>'EXP_Total Expenses'!I42</f>
        <v>12600</v>
      </c>
      <c r="K20" s="368" t="s">
        <v>104</v>
      </c>
      <c r="L20" s="381">
        <v>9657.9</v>
      </c>
      <c r="M20" s="381">
        <v>10488.8</v>
      </c>
      <c r="N20" s="382">
        <v>-830.90000000000009</v>
      </c>
    </row>
    <row r="21" spans="2:14" x14ac:dyDescent="0.25">
      <c r="B21" s="65" t="s">
        <v>101</v>
      </c>
      <c r="C21" s="177">
        <f>'EXP_Total Expenses'!G51</f>
        <v>9500</v>
      </c>
      <c r="D21" s="177">
        <f>'EXP_Total Expenses'!H51</f>
        <v>0</v>
      </c>
      <c r="E21" s="178">
        <f>'EXP_Total Expenses'!I51</f>
        <v>9500</v>
      </c>
      <c r="K21" s="386" t="s">
        <v>101</v>
      </c>
      <c r="L21" s="381">
        <v>3036.7</v>
      </c>
      <c r="M21" s="381">
        <v>5475.42</v>
      </c>
      <c r="N21" s="382">
        <v>-2438.7200000000003</v>
      </c>
    </row>
    <row r="22" spans="2:14" x14ac:dyDescent="0.25">
      <c r="B22" s="65" t="s">
        <v>107</v>
      </c>
      <c r="C22" s="181">
        <f>'EXP_Total Expenses'!G59</f>
        <v>1400</v>
      </c>
      <c r="D22" s="181">
        <f>'EXP_Total Expenses'!H59</f>
        <v>0</v>
      </c>
      <c r="E22" s="182">
        <f>'EXP_Total Expenses'!I59</f>
        <v>1400</v>
      </c>
      <c r="K22" s="386" t="s">
        <v>107</v>
      </c>
      <c r="L22" s="387">
        <v>2500</v>
      </c>
      <c r="M22" s="387">
        <v>1375.17</v>
      </c>
      <c r="N22" s="388">
        <v>1124.83</v>
      </c>
    </row>
    <row r="23" spans="2:14" x14ac:dyDescent="0.25">
      <c r="B23" s="65" t="s">
        <v>102</v>
      </c>
      <c r="C23" s="181">
        <f>'EXP_Total Expenses'!G67</f>
        <v>2690</v>
      </c>
      <c r="D23" s="181">
        <f>'EXP_Total Expenses'!H67</f>
        <v>0</v>
      </c>
      <c r="E23" s="182">
        <f>'EXP_Total Expenses'!I67</f>
        <v>2690</v>
      </c>
      <c r="K23" s="386" t="s">
        <v>102</v>
      </c>
      <c r="L23" s="387">
        <v>1520</v>
      </c>
      <c r="M23" s="387">
        <v>1586.99</v>
      </c>
      <c r="N23" s="388">
        <v>-66.990000000000009</v>
      </c>
    </row>
    <row r="24" spans="2:14" x14ac:dyDescent="0.25">
      <c r="B24" s="65" t="s">
        <v>14</v>
      </c>
      <c r="C24" s="181">
        <f>'EXP_Total Expenses'!G74</f>
        <v>195</v>
      </c>
      <c r="D24" s="181">
        <f>'EXP_Total Expenses'!H74</f>
        <v>0</v>
      </c>
      <c r="E24" s="182">
        <f>'EXP_Total Expenses'!I74</f>
        <v>195</v>
      </c>
      <c r="K24" s="386" t="s">
        <v>14</v>
      </c>
      <c r="L24" s="387">
        <v>1000</v>
      </c>
      <c r="M24" s="387">
        <v>176.85</v>
      </c>
      <c r="N24" s="388">
        <v>823.15</v>
      </c>
    </row>
    <row r="25" spans="2:14" x14ac:dyDescent="0.25">
      <c r="B25" s="65" t="s">
        <v>124</v>
      </c>
      <c r="C25" s="181">
        <f>'EXP_Total Expenses'!G86</f>
        <v>22600</v>
      </c>
      <c r="D25" s="181">
        <f>'EXP_Total Expenses'!H86</f>
        <v>0</v>
      </c>
      <c r="E25" s="182">
        <f>'EXP_Total Expenses'!I86</f>
        <v>22600</v>
      </c>
      <c r="K25" s="386" t="s">
        <v>124</v>
      </c>
      <c r="L25" s="387">
        <v>10050</v>
      </c>
      <c r="M25" s="387">
        <v>9119.17</v>
      </c>
      <c r="N25" s="388">
        <v>930.82999999999993</v>
      </c>
    </row>
    <row r="26" spans="2:14" ht="16.5" thickBot="1" x14ac:dyDescent="0.3">
      <c r="B26" s="66" t="s">
        <v>103</v>
      </c>
      <c r="C26" s="183">
        <f>'EXP_Total Expenses'!G107</f>
        <v>39487.07</v>
      </c>
      <c r="D26" s="183">
        <f>'EXP_Total Expenses'!H107</f>
        <v>0</v>
      </c>
      <c r="E26" s="184">
        <f>'EXP_Total Expenses'!I107</f>
        <v>39487.07</v>
      </c>
      <c r="K26" s="389" t="s">
        <v>103</v>
      </c>
      <c r="L26" s="390">
        <v>52475</v>
      </c>
      <c r="M26" s="390">
        <v>33363.759999999995</v>
      </c>
      <c r="N26" s="391">
        <v>19111.240000000002</v>
      </c>
    </row>
    <row r="27" spans="2:14" ht="16.5" thickBot="1" x14ac:dyDescent="0.3">
      <c r="B27" s="174" t="s">
        <v>1</v>
      </c>
      <c r="C27" s="175">
        <f>SUM(C16:C26)</f>
        <v>231339.64</v>
      </c>
      <c r="D27" s="175">
        <f t="shared" ref="D27:E27" si="1">SUM(D16:D26)</f>
        <v>0</v>
      </c>
      <c r="E27" s="176">
        <f t="shared" si="1"/>
        <v>231339.64</v>
      </c>
      <c r="K27" s="374" t="s">
        <v>1</v>
      </c>
      <c r="L27" s="375">
        <v>148889.59999999998</v>
      </c>
      <c r="M27" s="375">
        <v>140836.43</v>
      </c>
      <c r="N27" s="376">
        <v>8053.1700000000019</v>
      </c>
    </row>
    <row r="28" spans="2:14" ht="16.5" thickBot="1" x14ac:dyDescent="0.3">
      <c r="K28" s="364"/>
      <c r="L28" s="364"/>
      <c r="M28" s="364"/>
      <c r="N28" s="364"/>
    </row>
    <row r="29" spans="2:14" ht="16.5" thickBot="1" x14ac:dyDescent="0.3">
      <c r="B29" s="173" t="s">
        <v>130</v>
      </c>
      <c r="C29" s="56">
        <f>C12-C27</f>
        <v>17174.3995</v>
      </c>
      <c r="D29" s="56">
        <f>D12-D27</f>
        <v>153514.03950000001</v>
      </c>
      <c r="E29" s="212">
        <f>D29-C29</f>
        <v>136339.64000000001</v>
      </c>
      <c r="K29" s="374" t="s">
        <v>130</v>
      </c>
      <c r="L29" s="392">
        <v>21669.630000000005</v>
      </c>
      <c r="M29" s="392">
        <v>78912.080000000016</v>
      </c>
      <c r="N29" s="393">
        <v>57242.450000000012</v>
      </c>
    </row>
    <row r="30" spans="2:14" x14ac:dyDescent="0.25">
      <c r="K30" s="364"/>
      <c r="L30" s="364"/>
      <c r="M30" s="364"/>
      <c r="N30" s="364"/>
    </row>
    <row r="31" spans="2:14" x14ac:dyDescent="0.25">
      <c r="B31" s="248" t="s">
        <v>256</v>
      </c>
      <c r="C31" s="395">
        <f>IF(C29&lt;=40000,C29*0.7,(C29-40000)*0.3+28000)</f>
        <v>12022.07965</v>
      </c>
      <c r="D31" s="395">
        <f>IF(D29&lt;=40000,D29*0.7,(D29-40000)*0.3+28000)</f>
        <v>62054.21185</v>
      </c>
      <c r="E31" s="396"/>
      <c r="K31" s="248" t="s">
        <v>256</v>
      </c>
      <c r="L31" s="248"/>
      <c r="M31" s="395">
        <v>39673.624000000003</v>
      </c>
    </row>
    <row r="32" spans="2:14" x14ac:dyDescent="0.25">
      <c r="B32" s="248" t="s">
        <v>257</v>
      </c>
      <c r="C32" s="397">
        <f>C29-C31</f>
        <v>5152.3198499999999</v>
      </c>
      <c r="D32" s="397">
        <f>D29-D31</f>
        <v>91459.827650000021</v>
      </c>
      <c r="E32" s="398"/>
      <c r="K32" s="248" t="s">
        <v>257</v>
      </c>
      <c r="L32" s="248"/>
      <c r="M32" s="397">
        <v>39238.456000000013</v>
      </c>
    </row>
  </sheetData>
  <mergeCells count="6">
    <mergeCell ref="B9:E9"/>
    <mergeCell ref="B4:D4"/>
    <mergeCell ref="B15:E15"/>
    <mergeCell ref="H7:I7"/>
    <mergeCell ref="H8:I8"/>
    <mergeCell ref="H13:I13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1:S116"/>
  <sheetViews>
    <sheetView zoomScaleNormal="100" workbookViewId="0">
      <pane ySplit="7" topLeftCell="A8" activePane="bottomLeft" state="frozen"/>
      <selection pane="bottomLeft" activeCell="N82" sqref="N82"/>
    </sheetView>
  </sheetViews>
  <sheetFormatPr baseColWidth="10" defaultColWidth="11.109375" defaultRowHeight="15" x14ac:dyDescent="0.25"/>
  <cols>
    <col min="1" max="2" width="4.77734375" style="122" customWidth="1"/>
    <col min="3" max="3" width="10.44140625" style="122" customWidth="1"/>
    <col min="4" max="4" width="30.33203125" style="122" customWidth="1"/>
    <col min="5" max="5" width="10.21875" style="122" customWidth="1"/>
    <col min="6" max="6" width="9" style="122" customWidth="1"/>
    <col min="7" max="7" width="11.109375" style="122" customWidth="1"/>
    <col min="8" max="8" width="11.109375" style="122"/>
    <col min="9" max="10" width="11.109375" style="122" customWidth="1"/>
    <col min="11" max="11" width="10" style="163" customWidth="1"/>
    <col min="12" max="12" width="15.33203125" style="122" customWidth="1"/>
    <col min="13" max="13" width="3.77734375" style="122" customWidth="1"/>
    <col min="14" max="14" width="22.109375" style="122" customWidth="1"/>
    <col min="15" max="16" width="11.109375" style="122"/>
    <col min="17" max="17" width="12.21875" style="122" customWidth="1"/>
    <col min="18" max="18" width="12" style="122" customWidth="1"/>
    <col min="19" max="16384" width="11.109375" style="122"/>
  </cols>
  <sheetData>
    <row r="1" spans="3:19" x14ac:dyDescent="0.25">
      <c r="C1" s="143" t="s">
        <v>224</v>
      </c>
    </row>
    <row r="2" spans="3:19" ht="16.5" customHeight="1" thickBot="1" x14ac:dyDescent="0.3"/>
    <row r="3" spans="3:19" ht="16.5" customHeight="1" thickBot="1" x14ac:dyDescent="0.3">
      <c r="C3" s="421" t="s">
        <v>37</v>
      </c>
      <c r="D3" s="422"/>
      <c r="E3" s="422"/>
      <c r="F3" s="422"/>
      <c r="G3" s="422"/>
      <c r="H3" s="422"/>
      <c r="I3" s="422"/>
      <c r="J3" s="202">
        <f>REV_Fees!Q16</f>
        <v>250</v>
      </c>
      <c r="K3" s="203" t="s">
        <v>157</v>
      </c>
      <c r="N3" s="134" t="s">
        <v>37</v>
      </c>
      <c r="O3" s="137" t="s">
        <v>38</v>
      </c>
      <c r="P3" s="137" t="s">
        <v>93</v>
      </c>
      <c r="Q3" s="135">
        <f>R3-100</f>
        <v>150</v>
      </c>
      <c r="R3" s="135">
        <f>J3</f>
        <v>250</v>
      </c>
      <c r="S3" s="136">
        <f>R3+100</f>
        <v>350</v>
      </c>
    </row>
    <row r="5" spans="3:19" ht="15.75" thickBot="1" x14ac:dyDescent="0.3"/>
    <row r="6" spans="3:19" ht="15.75" thickBot="1" x14ac:dyDescent="0.3">
      <c r="C6" s="423" t="s">
        <v>90</v>
      </c>
      <c r="D6" s="424"/>
      <c r="E6" s="424"/>
      <c r="F6" s="424"/>
      <c r="G6" s="424"/>
      <c r="H6" s="424"/>
      <c r="I6" s="424"/>
      <c r="J6" s="425"/>
      <c r="K6" s="164"/>
    </row>
    <row r="7" spans="3:19" ht="45.75" thickBot="1" x14ac:dyDescent="0.3">
      <c r="C7" s="155" t="s">
        <v>111</v>
      </c>
      <c r="D7" s="156" t="s">
        <v>112</v>
      </c>
      <c r="E7" s="157" t="s">
        <v>113</v>
      </c>
      <c r="F7" s="156" t="s">
        <v>93</v>
      </c>
      <c r="G7" s="157" t="s">
        <v>168</v>
      </c>
      <c r="H7" s="157" t="s">
        <v>192</v>
      </c>
      <c r="I7" s="157" t="s">
        <v>193</v>
      </c>
      <c r="J7" s="158" t="s">
        <v>77</v>
      </c>
      <c r="K7" s="167" t="s">
        <v>127</v>
      </c>
      <c r="L7" s="143" t="s">
        <v>126</v>
      </c>
    </row>
    <row r="8" spans="3:19" ht="12" customHeight="1" thickBot="1" x14ac:dyDescent="0.3">
      <c r="C8" s="426"/>
      <c r="D8" s="427"/>
      <c r="E8" s="427"/>
      <c r="F8" s="427"/>
      <c r="G8" s="427"/>
      <c r="H8" s="427"/>
      <c r="I8" s="427"/>
      <c r="J8" s="428"/>
      <c r="K8" s="165"/>
    </row>
    <row r="9" spans="3:19" ht="15.95" customHeight="1" thickBot="1" x14ac:dyDescent="0.3">
      <c r="C9" s="418" t="s">
        <v>98</v>
      </c>
      <c r="D9" s="419"/>
      <c r="E9" s="419"/>
      <c r="F9" s="419"/>
      <c r="G9" s="419"/>
      <c r="H9" s="419"/>
      <c r="I9" s="419"/>
      <c r="J9" s="420"/>
      <c r="K9" s="164"/>
      <c r="L9" s="272"/>
      <c r="M9" s="273"/>
      <c r="N9" s="418" t="s">
        <v>114</v>
      </c>
      <c r="O9" s="419"/>
      <c r="P9" s="419"/>
      <c r="Q9" s="419"/>
      <c r="R9" s="419"/>
      <c r="S9" s="420"/>
    </row>
    <row r="10" spans="3:19" ht="8.4499999999999993" customHeight="1" x14ac:dyDescent="0.25">
      <c r="C10" s="429"/>
      <c r="D10" s="417"/>
      <c r="E10" s="417"/>
      <c r="F10" s="417"/>
      <c r="G10" s="417"/>
      <c r="H10" s="417"/>
      <c r="I10" s="417"/>
      <c r="J10" s="430"/>
      <c r="K10" s="166"/>
      <c r="L10" s="272"/>
      <c r="M10" s="273"/>
      <c r="N10" s="416"/>
      <c r="O10" s="417"/>
      <c r="P10" s="417"/>
      <c r="Q10" s="417"/>
      <c r="R10" s="417"/>
      <c r="S10" s="417"/>
    </row>
    <row r="11" spans="3:19" x14ac:dyDescent="0.25">
      <c r="C11" s="228"/>
      <c r="D11" s="258" t="s">
        <v>92</v>
      </c>
      <c r="E11" s="312">
        <v>0</v>
      </c>
      <c r="F11" s="313">
        <v>2</v>
      </c>
      <c r="G11" s="310">
        <f>$F11*$E11*J$3</f>
        <v>0</v>
      </c>
      <c r="H11" s="310"/>
      <c r="I11" s="310">
        <f>G11-H11</f>
        <v>0</v>
      </c>
      <c r="J11" s="311">
        <v>0</v>
      </c>
      <c r="K11" s="168" t="str">
        <f>IF(G11&lt;J11,"!!!"," ")</f>
        <v xml:space="preserve"> </v>
      </c>
      <c r="L11" s="272"/>
      <c r="M11" s="273"/>
      <c r="N11" s="140" t="s">
        <v>92</v>
      </c>
      <c r="O11" s="281">
        <f t="shared" ref="O11:O16" si="0">E11</f>
        <v>0</v>
      </c>
      <c r="P11" s="282">
        <v>2</v>
      </c>
      <c r="Q11" s="277">
        <f t="shared" ref="Q11:S15" si="1">$F11*$E11*Q$3</f>
        <v>0</v>
      </c>
      <c r="R11" s="277">
        <f t="shared" si="1"/>
        <v>0</v>
      </c>
      <c r="S11" s="277">
        <f t="shared" si="1"/>
        <v>0</v>
      </c>
    </row>
    <row r="12" spans="3:19" x14ac:dyDescent="0.25">
      <c r="C12" s="228"/>
      <c r="D12" s="214" t="s">
        <v>94</v>
      </c>
      <c r="E12" s="307">
        <v>10.5</v>
      </c>
      <c r="F12" s="309">
        <v>4</v>
      </c>
      <c r="G12" s="310">
        <f>E12*F12*$J$3</f>
        <v>10500</v>
      </c>
      <c r="H12" s="310"/>
      <c r="I12" s="310">
        <f t="shared" ref="I12:I22" si="2">G12-H12</f>
        <v>10500</v>
      </c>
      <c r="J12" s="219">
        <v>0</v>
      </c>
      <c r="K12" s="308" t="s">
        <v>209</v>
      </c>
      <c r="L12" s="272"/>
      <c r="M12" s="273"/>
      <c r="N12" s="138" t="s">
        <v>94</v>
      </c>
      <c r="O12" s="275">
        <f t="shared" si="0"/>
        <v>10.5</v>
      </c>
      <c r="P12" s="276">
        <v>4</v>
      </c>
      <c r="Q12" s="277">
        <f t="shared" si="1"/>
        <v>6300</v>
      </c>
      <c r="R12" s="277">
        <f t="shared" si="1"/>
        <v>10500</v>
      </c>
      <c r="S12" s="277">
        <f t="shared" si="1"/>
        <v>14700</v>
      </c>
    </row>
    <row r="13" spans="3:19" x14ac:dyDescent="0.25">
      <c r="C13" s="228"/>
      <c r="D13" s="214" t="s">
        <v>0</v>
      </c>
      <c r="E13" s="307">
        <v>41</v>
      </c>
      <c r="F13" s="309">
        <v>2</v>
      </c>
      <c r="G13" s="310">
        <f t="shared" ref="G13:G16" si="3">E13*F13*$J$3</f>
        <v>20500</v>
      </c>
      <c r="H13" s="310"/>
      <c r="I13" s="310">
        <f t="shared" si="2"/>
        <v>20500</v>
      </c>
      <c r="J13" s="219">
        <v>0</v>
      </c>
      <c r="K13" s="308" t="s">
        <v>209</v>
      </c>
      <c r="L13" s="272"/>
      <c r="M13" s="273"/>
      <c r="N13" s="138" t="s">
        <v>0</v>
      </c>
      <c r="O13" s="275">
        <f t="shared" si="0"/>
        <v>41</v>
      </c>
      <c r="P13" s="276">
        <v>2</v>
      </c>
      <c r="Q13" s="277">
        <f t="shared" si="1"/>
        <v>12300</v>
      </c>
      <c r="R13" s="277">
        <f t="shared" si="1"/>
        <v>20500</v>
      </c>
      <c r="S13" s="277">
        <f t="shared" si="1"/>
        <v>28700</v>
      </c>
    </row>
    <row r="14" spans="3:19" x14ac:dyDescent="0.25">
      <c r="C14" s="228"/>
      <c r="D14" s="214" t="s">
        <v>96</v>
      </c>
      <c r="E14" s="307">
        <v>0</v>
      </c>
      <c r="F14" s="309">
        <v>0</v>
      </c>
      <c r="G14" s="310">
        <f t="shared" si="3"/>
        <v>0</v>
      </c>
      <c r="H14" s="310"/>
      <c r="I14" s="310">
        <f t="shared" si="2"/>
        <v>0</v>
      </c>
      <c r="J14" s="311">
        <v>0</v>
      </c>
      <c r="K14" s="168" t="str">
        <f t="shared" ref="K14:K87" si="4">IF(G14&lt;J14,"!!!"," ")</f>
        <v xml:space="preserve"> </v>
      </c>
      <c r="L14" s="272"/>
      <c r="M14" s="273"/>
      <c r="N14" s="138" t="s">
        <v>96</v>
      </c>
      <c r="O14" s="275">
        <f t="shared" si="0"/>
        <v>0</v>
      </c>
      <c r="P14" s="276">
        <v>0</v>
      </c>
      <c r="Q14" s="277">
        <f t="shared" si="1"/>
        <v>0</v>
      </c>
      <c r="R14" s="277">
        <f t="shared" si="1"/>
        <v>0</v>
      </c>
      <c r="S14" s="277">
        <f t="shared" si="1"/>
        <v>0</v>
      </c>
    </row>
    <row r="15" spans="3:19" x14ac:dyDescent="0.25">
      <c r="C15" s="228"/>
      <c r="D15" s="331" t="s">
        <v>97</v>
      </c>
      <c r="E15" s="332">
        <v>0</v>
      </c>
      <c r="F15" s="331">
        <v>0</v>
      </c>
      <c r="G15" s="330">
        <f t="shared" si="3"/>
        <v>0</v>
      </c>
      <c r="H15" s="330"/>
      <c r="I15" s="330">
        <f t="shared" si="2"/>
        <v>0</v>
      </c>
      <c r="J15" s="333">
        <v>0</v>
      </c>
      <c r="K15" s="168" t="str">
        <f t="shared" si="4"/>
        <v xml:space="preserve"> </v>
      </c>
      <c r="L15" s="272"/>
      <c r="M15" s="273"/>
      <c r="N15" s="138" t="s">
        <v>97</v>
      </c>
      <c r="O15" s="275">
        <f t="shared" si="0"/>
        <v>0</v>
      </c>
      <c r="P15" s="276">
        <v>0</v>
      </c>
      <c r="Q15" s="277">
        <f t="shared" si="1"/>
        <v>0</v>
      </c>
      <c r="R15" s="277">
        <f t="shared" si="1"/>
        <v>0</v>
      </c>
      <c r="S15" s="277">
        <f t="shared" si="1"/>
        <v>0</v>
      </c>
    </row>
    <row r="16" spans="3:19" x14ac:dyDescent="0.25">
      <c r="C16" s="259"/>
      <c r="D16" s="331" t="s">
        <v>212</v>
      </c>
      <c r="E16" s="332">
        <f>8.9</f>
        <v>8.9</v>
      </c>
      <c r="F16" s="331">
        <v>2</v>
      </c>
      <c r="G16" s="330">
        <f t="shared" si="3"/>
        <v>4450</v>
      </c>
      <c r="H16" s="330"/>
      <c r="I16" s="330">
        <f t="shared" ref="I16" si="5">G16-H16</f>
        <v>4450</v>
      </c>
      <c r="J16" s="333">
        <v>0</v>
      </c>
      <c r="K16" s="308" t="s">
        <v>209</v>
      </c>
      <c r="L16" s="274"/>
      <c r="M16" s="273"/>
      <c r="N16" s="260" t="s">
        <v>186</v>
      </c>
      <c r="O16" s="275">
        <f t="shared" si="0"/>
        <v>8.9</v>
      </c>
      <c r="P16" s="276">
        <v>1</v>
      </c>
      <c r="Q16" s="277">
        <f>P16*$E16*Q$3</f>
        <v>1335</v>
      </c>
      <c r="R16" s="277">
        <f>P16*$E16*R$3</f>
        <v>2225</v>
      </c>
      <c r="S16" s="277">
        <f>P16*$E16*S$3</f>
        <v>3115</v>
      </c>
    </row>
    <row r="17" spans="3:19" s="163" customFormat="1" x14ac:dyDescent="0.25">
      <c r="C17" s="228"/>
      <c r="D17" s="331" t="s">
        <v>95</v>
      </c>
      <c r="E17" s="332">
        <v>7</v>
      </c>
      <c r="F17" s="331">
        <f>J3</f>
        <v>250</v>
      </c>
      <c r="G17" s="330">
        <f>E17*F17</f>
        <v>1750</v>
      </c>
      <c r="H17" s="330"/>
      <c r="I17" s="330">
        <f t="shared" si="2"/>
        <v>1750</v>
      </c>
      <c r="J17" s="333">
        <v>0</v>
      </c>
      <c r="K17" s="308">
        <f>(237+(762+15+280)+(99.22+250))</f>
        <v>1643.22</v>
      </c>
      <c r="L17" s="308" t="s">
        <v>219</v>
      </c>
      <c r="M17" s="273"/>
    </row>
    <row r="18" spans="3:19" x14ac:dyDescent="0.25">
      <c r="C18" s="228"/>
      <c r="D18" s="346" t="s">
        <v>233</v>
      </c>
      <c r="E18" s="332">
        <v>10</v>
      </c>
      <c r="F18" s="331">
        <f>J3</f>
        <v>250</v>
      </c>
      <c r="G18" s="330">
        <f>IF(E18*F18&lt;2500,2500,E18*F18)</f>
        <v>2500</v>
      </c>
      <c r="H18" s="330"/>
      <c r="I18" s="330">
        <f t="shared" si="2"/>
        <v>2500</v>
      </c>
      <c r="J18" s="333">
        <v>0</v>
      </c>
      <c r="K18" s="308"/>
      <c r="L18" s="308"/>
      <c r="M18" s="273"/>
      <c r="N18" s="214" t="s">
        <v>95</v>
      </c>
      <c r="O18" s="294">
        <v>20</v>
      </c>
      <c r="P18" s="292">
        <v>1</v>
      </c>
      <c r="Q18" s="296">
        <f>$O$18*$P18*Q$3</f>
        <v>3000</v>
      </c>
      <c r="R18" s="288">
        <f t="shared" ref="R18:S18" si="6">$O$18*$P18*R$3</f>
        <v>5000</v>
      </c>
      <c r="S18" s="288">
        <f t="shared" si="6"/>
        <v>7000</v>
      </c>
    </row>
    <row r="19" spans="3:19" x14ac:dyDescent="0.25">
      <c r="C19" s="259"/>
      <c r="D19" s="331" t="s">
        <v>202</v>
      </c>
      <c r="E19" s="332">
        <v>3</v>
      </c>
      <c r="F19" s="331">
        <f>J3</f>
        <v>250</v>
      </c>
      <c r="G19" s="330">
        <f>E19*F19</f>
        <v>750</v>
      </c>
      <c r="H19" s="330"/>
      <c r="I19" s="330">
        <f t="shared" ref="I19" si="7">G19-H19</f>
        <v>750</v>
      </c>
      <c r="J19" s="333">
        <v>0</v>
      </c>
      <c r="K19" s="308">
        <f>(387+280)</f>
        <v>667</v>
      </c>
      <c r="L19" s="308" t="s">
        <v>220</v>
      </c>
      <c r="M19" s="273"/>
      <c r="N19" s="291" t="s">
        <v>201</v>
      </c>
      <c r="O19" s="295">
        <f>E18</f>
        <v>10</v>
      </c>
      <c r="P19" s="291">
        <v>1</v>
      </c>
      <c r="Q19" s="293">
        <f>$P19*$O19*Q$3</f>
        <v>1500</v>
      </c>
      <c r="R19" s="293">
        <f t="shared" ref="R19:S19" si="8">$P19*$O19*R$3</f>
        <v>2500</v>
      </c>
      <c r="S19" s="277">
        <f t="shared" si="8"/>
        <v>3500</v>
      </c>
    </row>
    <row r="20" spans="3:19" ht="45" x14ac:dyDescent="0.25">
      <c r="C20" s="228"/>
      <c r="D20" s="350" t="s">
        <v>235</v>
      </c>
      <c r="E20" s="332">
        <f>(((((510+510+350)+540)+(880)+((3*40)+(2*30*4)))/F20)+120)*1.1</f>
        <v>144.83333333333334</v>
      </c>
      <c r="F20" s="334">
        <f>REV_Fees!Q16+REV_Fees!Q9+REV_Fees!U9</f>
        <v>270</v>
      </c>
      <c r="G20" s="330">
        <f>E20*F20</f>
        <v>39105</v>
      </c>
      <c r="H20" s="330"/>
      <c r="I20" s="330">
        <f t="shared" si="2"/>
        <v>39105</v>
      </c>
      <c r="J20" s="333">
        <v>0</v>
      </c>
      <c r="K20" s="308" t="s">
        <v>213</v>
      </c>
      <c r="L20" s="272"/>
      <c r="M20" s="273"/>
      <c r="N20" s="291" t="s">
        <v>200</v>
      </c>
      <c r="O20" s="275"/>
      <c r="P20" s="276"/>
      <c r="Q20" s="277"/>
      <c r="R20" s="277"/>
      <c r="S20" s="277"/>
    </row>
    <row r="21" spans="3:19" x14ac:dyDescent="0.25">
      <c r="C21" s="228"/>
      <c r="D21" s="331" t="s">
        <v>109</v>
      </c>
      <c r="E21" s="332">
        <f>(245*2)*1.1</f>
        <v>539</v>
      </c>
      <c r="F21" s="331">
        <f>ROUNDDOWN((J3+REV_Fees!Q9-1)/50,0)+1</f>
        <v>6</v>
      </c>
      <c r="G21" s="330">
        <f>F21*E21</f>
        <v>3234</v>
      </c>
      <c r="H21" s="330"/>
      <c r="I21" s="330">
        <f t="shared" ref="I21" si="9">G21-H21</f>
        <v>3234</v>
      </c>
      <c r="J21" s="333">
        <v>0</v>
      </c>
      <c r="K21" s="308" t="s">
        <v>208</v>
      </c>
      <c r="L21" s="272"/>
      <c r="M21" s="273"/>
      <c r="N21" s="138" t="s">
        <v>91</v>
      </c>
      <c r="O21" s="275">
        <f>E20</f>
        <v>144.83333333333334</v>
      </c>
      <c r="P21" s="276">
        <v>1</v>
      </c>
      <c r="Q21" s="277">
        <f>$P$21*$O21*Q$3</f>
        <v>21725</v>
      </c>
      <c r="R21" s="277">
        <f t="shared" ref="R21:S21" si="10">$P$21*$O21*R$3</f>
        <v>36208.333333333336</v>
      </c>
      <c r="S21" s="277">
        <f t="shared" si="10"/>
        <v>50691.666666666672</v>
      </c>
    </row>
    <row r="22" spans="3:19" x14ac:dyDescent="0.25">
      <c r="C22" s="228"/>
      <c r="D22" s="331" t="s">
        <v>189</v>
      </c>
      <c r="E22" s="332">
        <v>0</v>
      </c>
      <c r="F22" s="331">
        <v>0</v>
      </c>
      <c r="G22" s="330">
        <v>0</v>
      </c>
      <c r="H22" s="330"/>
      <c r="I22" s="330">
        <f t="shared" si="2"/>
        <v>0</v>
      </c>
      <c r="J22" s="333">
        <v>0</v>
      </c>
      <c r="K22" s="168" t="str">
        <f t="shared" si="4"/>
        <v xml:space="preserve"> </v>
      </c>
      <c r="L22" s="272"/>
      <c r="M22" s="273"/>
      <c r="N22" s="138"/>
      <c r="O22" s="275"/>
      <c r="P22" s="276"/>
      <c r="Q22" s="277"/>
      <c r="R22" s="277"/>
      <c r="S22" s="277"/>
    </row>
    <row r="23" spans="3:19" ht="15.75" x14ac:dyDescent="0.25">
      <c r="C23" s="261"/>
      <c r="D23" s="331" t="s">
        <v>221</v>
      </c>
      <c r="E23" s="332">
        <v>0</v>
      </c>
      <c r="F23" s="331">
        <v>150</v>
      </c>
      <c r="G23" s="335">
        <f>E23*F23</f>
        <v>0</v>
      </c>
      <c r="H23" s="330"/>
      <c r="I23" s="330"/>
      <c r="J23" s="336"/>
      <c r="K23" s="308" t="s">
        <v>223</v>
      </c>
      <c r="L23" s="272"/>
      <c r="M23" s="273"/>
      <c r="N23" s="138" t="s">
        <v>109</v>
      </c>
      <c r="O23" s="275"/>
      <c r="P23" s="276"/>
      <c r="Q23" s="77">
        <f>+(INT(Q3/55)+1)*600+(INT(Q3/55)+1)*500</f>
        <v>3300</v>
      </c>
      <c r="R23" s="77">
        <f>+(INT(R3/55)+1)*600+(INT(R3/55)+1)*500</f>
        <v>5500</v>
      </c>
      <c r="S23" s="77">
        <f>+(INT(S3/55)+1)*600+(INT(S3/55)+1)*500</f>
        <v>7700</v>
      </c>
    </row>
    <row r="24" spans="3:19" s="120" customFormat="1" ht="15.75" thickBot="1" x14ac:dyDescent="0.3">
      <c r="C24" s="262"/>
      <c r="D24" s="263" t="s">
        <v>1</v>
      </c>
      <c r="E24" s="264"/>
      <c r="F24" s="263"/>
      <c r="G24" s="265">
        <f>SUM(G11:G23)</f>
        <v>82789</v>
      </c>
      <c r="H24" s="266">
        <f>SUM(H11:H23)</f>
        <v>0</v>
      </c>
      <c r="I24" s="266">
        <f>SUM(I11:I23)</f>
        <v>82789</v>
      </c>
      <c r="J24" s="267">
        <f>SUM(J11:J23)</f>
        <v>0</v>
      </c>
      <c r="K24" s="168" t="str">
        <f t="shared" si="4"/>
        <v xml:space="preserve"> </v>
      </c>
      <c r="L24" s="274"/>
      <c r="M24" s="272"/>
      <c r="N24" s="138"/>
      <c r="O24" s="275"/>
      <c r="P24" s="276"/>
      <c r="Q24" s="276"/>
      <c r="R24" s="276"/>
      <c r="S24" s="276"/>
    </row>
    <row r="25" spans="3:19" ht="6.95" customHeight="1" thickBot="1" x14ac:dyDescent="0.3">
      <c r="D25" s="153"/>
      <c r="E25" s="154"/>
      <c r="F25" s="153"/>
      <c r="G25" s="153"/>
      <c r="H25" s="153"/>
      <c r="I25" s="153"/>
      <c r="J25" s="153"/>
      <c r="K25" s="168" t="str">
        <f t="shared" si="4"/>
        <v xml:space="preserve"> </v>
      </c>
      <c r="L25" s="272"/>
      <c r="M25" s="273"/>
    </row>
    <row r="26" spans="3:19" ht="15.75" thickBot="1" x14ac:dyDescent="0.3">
      <c r="C26" s="418" t="s">
        <v>99</v>
      </c>
      <c r="D26" s="419"/>
      <c r="E26" s="419"/>
      <c r="F26" s="419"/>
      <c r="G26" s="419"/>
      <c r="H26" s="419"/>
      <c r="I26" s="419"/>
      <c r="J26" s="420"/>
      <c r="K26" s="168" t="str">
        <f t="shared" si="4"/>
        <v xml:space="preserve"> </v>
      </c>
      <c r="L26" s="272"/>
      <c r="M26" s="273"/>
      <c r="N26" s="142" t="s">
        <v>1</v>
      </c>
      <c r="O26" s="283"/>
      <c r="P26" s="284"/>
      <c r="Q26" s="285">
        <f>SUM(Q11:Q23)</f>
        <v>49460</v>
      </c>
      <c r="R26" s="285">
        <f>SUM(R11:R23)</f>
        <v>82433.333333333343</v>
      </c>
      <c r="S26" s="285">
        <f>SUM(S11:S23)</f>
        <v>115406.66666666667</v>
      </c>
    </row>
    <row r="27" spans="3:19" x14ac:dyDescent="0.25">
      <c r="C27" s="413" t="s">
        <v>100</v>
      </c>
      <c r="D27" s="414"/>
      <c r="E27" s="414"/>
      <c r="F27" s="414"/>
      <c r="G27" s="414"/>
      <c r="H27" s="414"/>
      <c r="I27" s="414"/>
      <c r="J27" s="415"/>
      <c r="K27" s="168" t="str">
        <f t="shared" si="4"/>
        <v xml:space="preserve"> </v>
      </c>
      <c r="L27" s="272"/>
      <c r="M27" s="273"/>
    </row>
    <row r="28" spans="3:19" x14ac:dyDescent="0.25">
      <c r="C28" s="227"/>
      <c r="D28" s="138" t="s">
        <v>105</v>
      </c>
      <c r="E28" s="347">
        <f>(1725+1405+905)+(1810+3450+2810)+(3450+2810+1810)</f>
        <v>20175</v>
      </c>
      <c r="F28" s="317">
        <v>1</v>
      </c>
      <c r="G28" s="352">
        <f>IF(J3&lt;251,K28,E28)</f>
        <v>15650</v>
      </c>
      <c r="H28" s="316"/>
      <c r="I28" s="316">
        <f>G28-H28</f>
        <v>15650</v>
      </c>
      <c r="J28" s="149">
        <v>0</v>
      </c>
      <c r="K28" s="348">
        <f>1725+1405+3450+2810+3450+2810</f>
        <v>15650</v>
      </c>
      <c r="L28" s="314" t="s">
        <v>210</v>
      </c>
      <c r="M28" s="273"/>
    </row>
    <row r="29" spans="3:19" x14ac:dyDescent="0.25">
      <c r="C29" s="227"/>
      <c r="D29" s="138" t="s">
        <v>106</v>
      </c>
      <c r="E29" s="315">
        <f>2722+5445+5445</f>
        <v>13612</v>
      </c>
      <c r="F29" s="317">
        <v>1</v>
      </c>
      <c r="G29" s="316">
        <f t="shared" ref="G29" si="11">E29+F29</f>
        <v>13613</v>
      </c>
      <c r="H29" s="316"/>
      <c r="I29" s="316">
        <f>G29-H29</f>
        <v>13613</v>
      </c>
      <c r="J29" s="149">
        <v>0</v>
      </c>
      <c r="K29" s="168" t="str">
        <f t="shared" si="4"/>
        <v xml:space="preserve"> </v>
      </c>
      <c r="L29" s="272"/>
      <c r="M29" s="273"/>
    </row>
    <row r="30" spans="3:19" x14ac:dyDescent="0.25">
      <c r="C30" s="227"/>
      <c r="D30" s="349" t="s">
        <v>207</v>
      </c>
      <c r="E30" s="315">
        <f>31967*1.21-K30</f>
        <v>29665.57</v>
      </c>
      <c r="F30" s="317">
        <v>1</v>
      </c>
      <c r="G30" s="351">
        <f>E30*F30</f>
        <v>29665.57</v>
      </c>
      <c r="H30" s="316"/>
      <c r="I30" s="316">
        <f>G30-H30</f>
        <v>29665.57</v>
      </c>
      <c r="J30" s="149">
        <v>0</v>
      </c>
      <c r="K30" s="308">
        <f>7450*1.21</f>
        <v>9014.5</v>
      </c>
      <c r="L30" s="318" t="s">
        <v>211</v>
      </c>
      <c r="M30" s="273"/>
    </row>
    <row r="31" spans="3:19" x14ac:dyDescent="0.25">
      <c r="C31" s="227"/>
      <c r="D31" s="269" t="s">
        <v>190</v>
      </c>
      <c r="E31" s="323">
        <f>(25*9)*1.1</f>
        <v>247.50000000000003</v>
      </c>
      <c r="F31" s="317">
        <v>4</v>
      </c>
      <c r="G31" s="316">
        <f>F31*E31</f>
        <v>990.00000000000011</v>
      </c>
      <c r="H31" s="316"/>
      <c r="I31" s="316">
        <f>G31-H31</f>
        <v>990.00000000000011</v>
      </c>
      <c r="J31" s="149">
        <v>0</v>
      </c>
      <c r="K31" s="253" t="s">
        <v>218</v>
      </c>
      <c r="L31" s="272"/>
      <c r="M31" s="273"/>
    </row>
    <row r="32" spans="3:19" x14ac:dyDescent="0.25">
      <c r="C32" s="227"/>
      <c r="D32" s="247" t="s">
        <v>183</v>
      </c>
      <c r="E32" s="323">
        <v>4</v>
      </c>
      <c r="F32" s="317">
        <v>40</v>
      </c>
      <c r="G32" s="316">
        <f>F32*E32</f>
        <v>160</v>
      </c>
      <c r="H32" s="316"/>
      <c r="I32" s="316">
        <f>G32-H32</f>
        <v>160</v>
      </c>
      <c r="J32" s="149">
        <v>0</v>
      </c>
      <c r="K32" s="253" t="s">
        <v>218</v>
      </c>
      <c r="L32" s="272"/>
      <c r="M32" s="273"/>
    </row>
    <row r="33" spans="3:13" x14ac:dyDescent="0.25">
      <c r="C33" s="150"/>
      <c r="D33" s="138"/>
      <c r="E33" s="138"/>
      <c r="F33" s="138"/>
      <c r="G33" s="139"/>
      <c r="H33" s="138"/>
      <c r="I33" s="138"/>
      <c r="J33" s="149"/>
      <c r="K33" s="168" t="str">
        <f t="shared" si="4"/>
        <v xml:space="preserve"> </v>
      </c>
      <c r="L33" s="272"/>
      <c r="M33" s="273"/>
    </row>
    <row r="34" spans="3:13" ht="15.75" thickBot="1" x14ac:dyDescent="0.3">
      <c r="C34" s="151" t="s">
        <v>1</v>
      </c>
      <c r="D34" s="152"/>
      <c r="E34" s="152"/>
      <c r="F34" s="152"/>
      <c r="G34" s="161">
        <f>SUM(G28:G33)</f>
        <v>60078.57</v>
      </c>
      <c r="H34" s="161">
        <f>SUM(H28:H33)</f>
        <v>0</v>
      </c>
      <c r="I34" s="161">
        <f>SUM(I28:I33)</f>
        <v>60078.57</v>
      </c>
      <c r="J34" s="162">
        <f>SUM(J28:J33)</f>
        <v>0</v>
      </c>
      <c r="K34" s="168"/>
      <c r="L34" s="272"/>
      <c r="M34" s="273"/>
    </row>
    <row r="35" spans="3:13" ht="5.0999999999999996" customHeight="1" x14ac:dyDescent="0.25">
      <c r="C35" s="153"/>
      <c r="D35" s="153"/>
      <c r="E35" s="153"/>
      <c r="F35" s="153"/>
      <c r="G35" s="153"/>
      <c r="H35" s="153"/>
      <c r="I35" s="153"/>
      <c r="J35" s="153"/>
      <c r="K35" s="168" t="str">
        <f t="shared" si="4"/>
        <v xml:space="preserve"> </v>
      </c>
      <c r="L35" s="120"/>
    </row>
    <row r="36" spans="3:13" x14ac:dyDescent="0.25">
      <c r="C36" s="413" t="s">
        <v>104</v>
      </c>
      <c r="D36" s="414"/>
      <c r="E36" s="414"/>
      <c r="F36" s="414"/>
      <c r="G36" s="414"/>
      <c r="H36" s="414"/>
      <c r="I36" s="414"/>
      <c r="J36" s="415"/>
      <c r="K36" s="168" t="str">
        <f t="shared" si="4"/>
        <v xml:space="preserve"> </v>
      </c>
      <c r="L36" s="120"/>
    </row>
    <row r="37" spans="3:13" x14ac:dyDescent="0.25">
      <c r="C37" s="227"/>
      <c r="D37" s="304" t="s">
        <v>205</v>
      </c>
      <c r="E37" s="276"/>
      <c r="F37" s="276"/>
      <c r="G37" s="293">
        <f>4600</f>
        <v>4600</v>
      </c>
      <c r="H37" s="277"/>
      <c r="I37" s="293">
        <f>G37-H37</f>
        <v>4600</v>
      </c>
      <c r="J37" s="149">
        <v>0</v>
      </c>
      <c r="K37" s="168" t="str">
        <f t="shared" si="4"/>
        <v xml:space="preserve"> </v>
      </c>
      <c r="L37" s="120"/>
    </row>
    <row r="38" spans="3:13" x14ac:dyDescent="0.25">
      <c r="C38" s="227"/>
      <c r="D38" s="304" t="s">
        <v>206</v>
      </c>
      <c r="E38" s="276"/>
      <c r="F38" s="276"/>
      <c r="G38" s="293">
        <v>1000</v>
      </c>
      <c r="H38" s="277"/>
      <c r="I38" s="293">
        <f>G38-H38</f>
        <v>1000</v>
      </c>
      <c r="J38" s="149">
        <v>0</v>
      </c>
      <c r="K38" s="168" t="str">
        <f t="shared" si="4"/>
        <v xml:space="preserve"> </v>
      </c>
      <c r="L38" s="120"/>
    </row>
    <row r="39" spans="3:13" x14ac:dyDescent="0.25">
      <c r="C39" s="227"/>
      <c r="D39" s="201" t="s">
        <v>156</v>
      </c>
      <c r="E39" s="276"/>
      <c r="F39" s="276"/>
      <c r="G39" s="293">
        <v>6000</v>
      </c>
      <c r="H39" s="277"/>
      <c r="I39" s="293">
        <f>G39-H39</f>
        <v>6000</v>
      </c>
      <c r="J39" s="149">
        <v>0</v>
      </c>
      <c r="K39" s="168"/>
      <c r="L39" s="120"/>
    </row>
    <row r="40" spans="3:13" x14ac:dyDescent="0.25">
      <c r="C40" s="227"/>
      <c r="D40" s="291" t="s">
        <v>203</v>
      </c>
      <c r="E40" s="138"/>
      <c r="F40" s="138"/>
      <c r="G40" s="139">
        <v>0</v>
      </c>
      <c r="H40" s="138"/>
      <c r="I40" s="293">
        <f>G40-H40</f>
        <v>0</v>
      </c>
      <c r="J40" s="149"/>
      <c r="K40" s="168"/>
      <c r="L40" s="120"/>
    </row>
    <row r="41" spans="3:13" x14ac:dyDescent="0.25">
      <c r="C41" s="150"/>
      <c r="D41" s="326" t="s">
        <v>222</v>
      </c>
      <c r="E41" s="138"/>
      <c r="F41" s="138"/>
      <c r="G41" s="139">
        <v>1000</v>
      </c>
      <c r="H41" s="138"/>
      <c r="I41" s="293">
        <f>G41-H41</f>
        <v>1000</v>
      </c>
      <c r="J41" s="149"/>
      <c r="K41" s="168" t="str">
        <f t="shared" si="4"/>
        <v xml:space="preserve"> </v>
      </c>
      <c r="L41" s="120"/>
    </row>
    <row r="42" spans="3:13" ht="15.75" thickBot="1" x14ac:dyDescent="0.3">
      <c r="C42" s="151" t="s">
        <v>1</v>
      </c>
      <c r="D42" s="152"/>
      <c r="E42" s="152"/>
      <c r="F42" s="152"/>
      <c r="G42" s="161">
        <f>SUM(G37:G41)</f>
        <v>12600</v>
      </c>
      <c r="H42" s="161">
        <f t="shared" ref="H42:I42" si="12">SUM(H37:H41)</f>
        <v>0</v>
      </c>
      <c r="I42" s="161">
        <f t="shared" si="12"/>
        <v>12600</v>
      </c>
      <c r="J42" s="162">
        <f>SUM(J37:J41)</f>
        <v>0</v>
      </c>
      <c r="K42" s="168" t="str">
        <f t="shared" si="4"/>
        <v xml:space="preserve"> </v>
      </c>
      <c r="L42" s="120"/>
    </row>
    <row r="43" spans="3:13" ht="7.5" customHeight="1" thickBot="1" x14ac:dyDescent="0.3">
      <c r="C43" s="153"/>
      <c r="D43" s="153"/>
      <c r="E43" s="153"/>
      <c r="F43" s="153"/>
      <c r="G43" s="153"/>
      <c r="H43" s="153"/>
      <c r="I43" s="153"/>
      <c r="J43" s="153"/>
      <c r="K43" s="168" t="str">
        <f t="shared" si="4"/>
        <v xml:space="preserve"> </v>
      </c>
      <c r="L43" s="120"/>
    </row>
    <row r="44" spans="3:13" x14ac:dyDescent="0.25">
      <c r="C44" s="431" t="s">
        <v>101</v>
      </c>
      <c r="D44" s="432"/>
      <c r="E44" s="432"/>
      <c r="F44" s="432"/>
      <c r="G44" s="432"/>
      <c r="H44" s="432"/>
      <c r="I44" s="432"/>
      <c r="J44" s="433"/>
      <c r="K44" s="168" t="str">
        <f t="shared" si="4"/>
        <v xml:space="preserve"> </v>
      </c>
      <c r="L44" s="120"/>
    </row>
    <row r="45" spans="3:13" x14ac:dyDescent="0.25">
      <c r="C45" s="227"/>
      <c r="D45" s="287" t="s">
        <v>196</v>
      </c>
      <c r="E45" s="276"/>
      <c r="F45" s="276"/>
      <c r="G45" s="300">
        <v>1500</v>
      </c>
      <c r="H45" s="300"/>
      <c r="I45" s="300">
        <f>G45-H45</f>
        <v>1500</v>
      </c>
      <c r="J45" s="149">
        <v>0</v>
      </c>
      <c r="K45" s="168"/>
      <c r="L45" s="120"/>
    </row>
    <row r="46" spans="3:13" x14ac:dyDescent="0.25">
      <c r="C46" s="227"/>
      <c r="D46" s="211" t="s">
        <v>163</v>
      </c>
      <c r="E46" s="276"/>
      <c r="F46" s="276"/>
      <c r="G46" s="300">
        <v>5000</v>
      </c>
      <c r="H46" s="300"/>
      <c r="I46" s="300">
        <f>G46-H46</f>
        <v>5000</v>
      </c>
      <c r="J46" s="149">
        <v>0</v>
      </c>
      <c r="K46" s="168" t="str">
        <f t="shared" si="4"/>
        <v xml:space="preserve"> </v>
      </c>
      <c r="L46" s="120"/>
    </row>
    <row r="47" spans="3:13" x14ac:dyDescent="0.25">
      <c r="C47" s="227"/>
      <c r="D47" s="138" t="s">
        <v>21</v>
      </c>
      <c r="E47" s="276"/>
      <c r="F47" s="276"/>
      <c r="G47" s="316">
        <v>1500</v>
      </c>
      <c r="H47" s="316"/>
      <c r="I47" s="316">
        <f t="shared" ref="I47:I49" si="13">G47-H47</f>
        <v>1500</v>
      </c>
      <c r="J47" s="149">
        <v>0</v>
      </c>
      <c r="K47" s="253" t="s">
        <v>218</v>
      </c>
      <c r="L47" s="120"/>
    </row>
    <row r="48" spans="3:13" x14ac:dyDescent="0.25">
      <c r="C48" s="227"/>
      <c r="D48" s="138" t="s">
        <v>22</v>
      </c>
      <c r="E48" s="276"/>
      <c r="F48" s="276"/>
      <c r="G48" s="300">
        <v>0</v>
      </c>
      <c r="H48" s="300"/>
      <c r="I48" s="300">
        <f t="shared" si="13"/>
        <v>0</v>
      </c>
      <c r="J48" s="149">
        <v>0</v>
      </c>
      <c r="K48" s="168" t="str">
        <f t="shared" si="4"/>
        <v xml:space="preserve"> </v>
      </c>
      <c r="L48" s="120"/>
    </row>
    <row r="49" spans="3:12" x14ac:dyDescent="0.25">
      <c r="C49" s="236"/>
      <c r="D49" s="237" t="s">
        <v>177</v>
      </c>
      <c r="E49" s="276"/>
      <c r="F49" s="276"/>
      <c r="G49" s="300">
        <v>1500</v>
      </c>
      <c r="H49" s="300"/>
      <c r="I49" s="300">
        <f t="shared" si="13"/>
        <v>1500</v>
      </c>
      <c r="J49" s="149">
        <v>0</v>
      </c>
      <c r="K49" s="168"/>
      <c r="L49" s="120"/>
    </row>
    <row r="50" spans="3:12" x14ac:dyDescent="0.25">
      <c r="C50" s="150"/>
      <c r="D50" s="138"/>
      <c r="E50" s="138"/>
      <c r="F50" s="138"/>
      <c r="G50" s="139"/>
      <c r="H50" s="138"/>
      <c r="I50" s="138"/>
      <c r="J50" s="149"/>
      <c r="K50" s="168" t="str">
        <f t="shared" si="4"/>
        <v xml:space="preserve"> </v>
      </c>
      <c r="L50" s="120"/>
    </row>
    <row r="51" spans="3:12" ht="15.75" thickBot="1" x14ac:dyDescent="0.3">
      <c r="C51" s="151" t="s">
        <v>1</v>
      </c>
      <c r="D51" s="152"/>
      <c r="E51" s="152"/>
      <c r="F51" s="152"/>
      <c r="G51" s="161">
        <f>SUM(G45:G50)</f>
        <v>9500</v>
      </c>
      <c r="H51" s="161">
        <f>SUM(H45:H50)</f>
        <v>0</v>
      </c>
      <c r="I51" s="161">
        <f>SUM(I45:I50)</f>
        <v>9500</v>
      </c>
      <c r="J51" s="162">
        <f>SUM(J45:J50)</f>
        <v>0</v>
      </c>
      <c r="K51" s="168" t="str">
        <f t="shared" si="4"/>
        <v xml:space="preserve"> </v>
      </c>
      <c r="L51" s="120"/>
    </row>
    <row r="52" spans="3:12" ht="6.95" customHeight="1" thickBot="1" x14ac:dyDescent="0.3">
      <c r="C52" s="153"/>
      <c r="D52" s="153"/>
      <c r="E52" s="153"/>
      <c r="F52" s="153"/>
      <c r="G52" s="153"/>
      <c r="H52" s="153"/>
      <c r="I52" s="153"/>
      <c r="J52" s="153"/>
      <c r="K52" s="168" t="str">
        <f t="shared" si="4"/>
        <v xml:space="preserve"> </v>
      </c>
      <c r="L52" s="120"/>
    </row>
    <row r="53" spans="3:12" x14ac:dyDescent="0.25">
      <c r="C53" s="431" t="s">
        <v>107</v>
      </c>
      <c r="D53" s="432"/>
      <c r="E53" s="432"/>
      <c r="F53" s="432"/>
      <c r="G53" s="432"/>
      <c r="H53" s="432"/>
      <c r="I53" s="432"/>
      <c r="J53" s="433"/>
      <c r="K53" s="168" t="str">
        <f t="shared" si="4"/>
        <v xml:space="preserve"> </v>
      </c>
      <c r="L53" s="120"/>
    </row>
    <row r="54" spans="3:12" x14ac:dyDescent="0.25">
      <c r="C54" s="227"/>
      <c r="D54" s="243" t="s">
        <v>108</v>
      </c>
      <c r="E54" s="317">
        <v>1400</v>
      </c>
      <c r="F54" s="317">
        <v>1</v>
      </c>
      <c r="G54" s="316">
        <f>E54*F54</f>
        <v>1400</v>
      </c>
      <c r="H54" s="310"/>
      <c r="I54" s="316">
        <f>G54-H54</f>
        <v>1400</v>
      </c>
      <c r="J54" s="149">
        <v>0</v>
      </c>
      <c r="K54" s="253" t="s">
        <v>218</v>
      </c>
      <c r="L54" s="120"/>
    </row>
    <row r="55" spans="3:12" x14ac:dyDescent="0.25">
      <c r="C55" s="227"/>
      <c r="D55" s="229" t="s">
        <v>51</v>
      </c>
      <c r="E55" s="276"/>
      <c r="F55" s="276"/>
      <c r="G55" s="316">
        <f t="shared" ref="G55:G56" si="14">F55</f>
        <v>0</v>
      </c>
      <c r="H55" s="316"/>
      <c r="I55" s="316">
        <f t="shared" ref="I55:I56" si="15">G55-H55</f>
        <v>0</v>
      </c>
      <c r="J55" s="149"/>
      <c r="K55" s="168"/>
      <c r="L55" s="120"/>
    </row>
    <row r="56" spans="3:12" x14ac:dyDescent="0.25">
      <c r="C56" s="227"/>
      <c r="D56" s="229" t="s">
        <v>51</v>
      </c>
      <c r="E56" s="276"/>
      <c r="F56" s="276"/>
      <c r="G56" s="316">
        <f t="shared" si="14"/>
        <v>0</v>
      </c>
      <c r="H56" s="316"/>
      <c r="I56" s="316">
        <f t="shared" si="15"/>
        <v>0</v>
      </c>
      <c r="J56" s="149"/>
      <c r="K56" s="168"/>
      <c r="L56" s="120"/>
    </row>
    <row r="57" spans="3:12" x14ac:dyDescent="0.25">
      <c r="C57" s="227"/>
      <c r="D57" s="144" t="s">
        <v>121</v>
      </c>
      <c r="E57" s="276"/>
      <c r="F57" s="276"/>
      <c r="G57" s="316">
        <v>0</v>
      </c>
      <c r="H57" s="316"/>
      <c r="I57" s="316">
        <f>G57-H57</f>
        <v>0</v>
      </c>
      <c r="J57" s="149">
        <v>0</v>
      </c>
      <c r="K57" s="168" t="str">
        <f t="shared" si="4"/>
        <v xml:space="preserve"> </v>
      </c>
      <c r="L57" s="120"/>
    </row>
    <row r="58" spans="3:12" x14ac:dyDescent="0.25">
      <c r="C58" s="150"/>
      <c r="D58" s="138"/>
      <c r="E58" s="138"/>
      <c r="F58" s="138"/>
      <c r="G58" s="141">
        <f t="shared" ref="G58" si="16">F58</f>
        <v>0</v>
      </c>
      <c r="H58" s="141"/>
      <c r="I58" s="141">
        <f t="shared" ref="I58" si="17">G58-H58</f>
        <v>0</v>
      </c>
      <c r="J58" s="149">
        <v>0</v>
      </c>
      <c r="K58" s="168" t="str">
        <f t="shared" si="4"/>
        <v xml:space="preserve"> </v>
      </c>
      <c r="L58" s="120"/>
    </row>
    <row r="59" spans="3:12" ht="15.75" thickBot="1" x14ac:dyDescent="0.3">
      <c r="C59" s="151" t="s">
        <v>1</v>
      </c>
      <c r="D59" s="152"/>
      <c r="E59" s="152"/>
      <c r="F59" s="152"/>
      <c r="G59" s="161">
        <f>SUM(G54:G58)</f>
        <v>1400</v>
      </c>
      <c r="H59" s="161">
        <f>SUM(H54:H58)</f>
        <v>0</v>
      </c>
      <c r="I59" s="161">
        <f>SUM(I54:I58)</f>
        <v>1400</v>
      </c>
      <c r="J59" s="162">
        <f>SUM(J54:J58)</f>
        <v>0</v>
      </c>
      <c r="K59" s="168" t="str">
        <f t="shared" si="4"/>
        <v xml:space="preserve"> </v>
      </c>
      <c r="L59" s="120"/>
    </row>
    <row r="60" spans="3:12" ht="4.5" customHeight="1" thickBot="1" x14ac:dyDescent="0.3">
      <c r="C60" s="153"/>
      <c r="D60" s="153"/>
      <c r="E60" s="153"/>
      <c r="F60" s="153"/>
      <c r="G60" s="153"/>
      <c r="H60" s="153"/>
      <c r="I60" s="153"/>
      <c r="J60" s="153"/>
      <c r="K60" s="168" t="str">
        <f t="shared" si="4"/>
        <v xml:space="preserve"> </v>
      </c>
      <c r="L60" s="120"/>
    </row>
    <row r="61" spans="3:12" x14ac:dyDescent="0.25">
      <c r="C61" s="431" t="s">
        <v>102</v>
      </c>
      <c r="D61" s="432"/>
      <c r="E61" s="432"/>
      <c r="F61" s="432"/>
      <c r="G61" s="432"/>
      <c r="H61" s="432"/>
      <c r="I61" s="432"/>
      <c r="J61" s="433"/>
      <c r="K61" s="168" t="str">
        <f t="shared" si="4"/>
        <v xml:space="preserve"> </v>
      </c>
      <c r="L61" s="120"/>
    </row>
    <row r="62" spans="3:12" x14ac:dyDescent="0.25">
      <c r="C62" s="227"/>
      <c r="D62" s="144" t="s">
        <v>118</v>
      </c>
      <c r="E62" s="326">
        <v>2</v>
      </c>
      <c r="F62" s="327">
        <v>500</v>
      </c>
      <c r="G62" s="327">
        <f>E62*F62</f>
        <v>1000</v>
      </c>
      <c r="H62" s="328"/>
      <c r="I62" s="328">
        <f>G62-H62</f>
        <v>1000</v>
      </c>
      <c r="J62" s="149">
        <v>0</v>
      </c>
      <c r="K62" s="168">
        <v>200</v>
      </c>
      <c r="L62" s="220"/>
    </row>
    <row r="63" spans="3:12" x14ac:dyDescent="0.25">
      <c r="C63" s="238"/>
      <c r="D63" s="144" t="s">
        <v>119</v>
      </c>
      <c r="E63" s="326">
        <v>4</v>
      </c>
      <c r="F63" s="327">
        <v>300</v>
      </c>
      <c r="G63" s="327">
        <f>E63*F63</f>
        <v>1200</v>
      </c>
      <c r="H63" s="328"/>
      <c r="I63" s="328">
        <f>G63-H63</f>
        <v>1200</v>
      </c>
      <c r="J63" s="149">
        <v>0</v>
      </c>
      <c r="K63" s="253" t="s">
        <v>218</v>
      </c>
      <c r="L63" s="120"/>
    </row>
    <row r="64" spans="3:12" x14ac:dyDescent="0.25">
      <c r="C64" s="227"/>
      <c r="D64" s="287" t="s">
        <v>197</v>
      </c>
      <c r="E64" s="326">
        <v>4</v>
      </c>
      <c r="F64" s="327">
        <v>60</v>
      </c>
      <c r="G64" s="327">
        <f>E64*F64</f>
        <v>240</v>
      </c>
      <c r="H64" s="328"/>
      <c r="I64" s="328">
        <f>G64-H64</f>
        <v>240</v>
      </c>
      <c r="J64" s="149">
        <v>0</v>
      </c>
      <c r="K64" s="253" t="s">
        <v>218</v>
      </c>
      <c r="L64" s="120"/>
    </row>
    <row r="65" spans="3:12" x14ac:dyDescent="0.25">
      <c r="C65" s="227"/>
      <c r="D65" s="221" t="s">
        <v>169</v>
      </c>
      <c r="E65" s="326">
        <v>3</v>
      </c>
      <c r="F65" s="327">
        <v>90</v>
      </c>
      <c r="G65" s="327">
        <v>250</v>
      </c>
      <c r="H65" s="328"/>
      <c r="I65" s="328">
        <f>G65-H65</f>
        <v>250</v>
      </c>
      <c r="J65" s="149"/>
      <c r="K65" s="168">
        <v>0</v>
      </c>
      <c r="L65" s="120"/>
    </row>
    <row r="66" spans="3:12" x14ac:dyDescent="0.25">
      <c r="C66" s="150"/>
      <c r="D66" s="138"/>
      <c r="E66" s="317"/>
      <c r="F66" s="315"/>
      <c r="G66" s="315">
        <f t="shared" ref="G66" si="18">E66*F66</f>
        <v>0</v>
      </c>
      <c r="H66" s="316"/>
      <c r="I66" s="316">
        <f t="shared" ref="I66" si="19">G66-H66</f>
        <v>0</v>
      </c>
      <c r="J66" s="149">
        <v>0</v>
      </c>
      <c r="K66" s="168" t="str">
        <f t="shared" si="4"/>
        <v xml:space="preserve"> </v>
      </c>
      <c r="L66" s="120"/>
    </row>
    <row r="67" spans="3:12" ht="15.75" thickBot="1" x14ac:dyDescent="0.3">
      <c r="C67" s="151" t="s">
        <v>1</v>
      </c>
      <c r="D67" s="152"/>
      <c r="E67" s="152"/>
      <c r="F67" s="152"/>
      <c r="G67" s="161">
        <f>SUM(G62:G66)</f>
        <v>2690</v>
      </c>
      <c r="H67" s="161">
        <f>SUM(H62:H66)</f>
        <v>0</v>
      </c>
      <c r="I67" s="161">
        <f>SUM(I62:I66)</f>
        <v>2690</v>
      </c>
      <c r="J67" s="162">
        <f>SUM(J62:J66)</f>
        <v>0</v>
      </c>
      <c r="K67" s="168" t="str">
        <f t="shared" si="4"/>
        <v xml:space="preserve"> </v>
      </c>
      <c r="L67" s="120"/>
    </row>
    <row r="68" spans="3:12" ht="4.5" customHeight="1" thickBot="1" x14ac:dyDescent="0.3">
      <c r="C68" s="153"/>
      <c r="D68" s="153"/>
      <c r="E68" s="153"/>
      <c r="F68" s="153"/>
      <c r="G68" s="153"/>
      <c r="H68" s="153"/>
      <c r="I68" s="153"/>
      <c r="J68" s="153"/>
      <c r="K68" s="168" t="str">
        <f t="shared" si="4"/>
        <v xml:space="preserve"> </v>
      </c>
      <c r="L68" s="120"/>
    </row>
    <row r="69" spans="3:12" x14ac:dyDescent="0.25">
      <c r="C69" s="431" t="s">
        <v>14</v>
      </c>
      <c r="D69" s="432"/>
      <c r="E69" s="432"/>
      <c r="F69" s="432"/>
      <c r="G69" s="432"/>
      <c r="H69" s="432"/>
      <c r="I69" s="432"/>
      <c r="J69" s="433"/>
      <c r="K69" s="168" t="str">
        <f t="shared" si="4"/>
        <v xml:space="preserve"> </v>
      </c>
      <c r="L69" s="120"/>
    </row>
    <row r="70" spans="3:12" s="322" customFormat="1" x14ac:dyDescent="0.25">
      <c r="C70" s="319"/>
      <c r="D70" s="317" t="s">
        <v>108</v>
      </c>
      <c r="E70" s="317">
        <v>100</v>
      </c>
      <c r="F70" s="317">
        <v>1</v>
      </c>
      <c r="G70" s="315">
        <f>E70*F70</f>
        <v>100</v>
      </c>
      <c r="H70" s="310"/>
      <c r="I70" s="316">
        <f>G70-H70</f>
        <v>100</v>
      </c>
      <c r="J70" s="320">
        <v>0</v>
      </c>
      <c r="K70" s="253" t="s">
        <v>218</v>
      </c>
      <c r="L70" s="325" t="s">
        <v>234</v>
      </c>
    </row>
    <row r="71" spans="3:12" s="322" customFormat="1" x14ac:dyDescent="0.25">
      <c r="C71" s="319"/>
      <c r="D71" s="317" t="s">
        <v>170</v>
      </c>
      <c r="E71" s="317">
        <v>95</v>
      </c>
      <c r="F71" s="317">
        <v>1</v>
      </c>
      <c r="G71" s="315">
        <f>E71*F71</f>
        <v>95</v>
      </c>
      <c r="H71" s="316"/>
      <c r="I71" s="316">
        <f>G71-H71</f>
        <v>95</v>
      </c>
      <c r="J71" s="320">
        <v>0</v>
      </c>
      <c r="K71" s="253" t="s">
        <v>218</v>
      </c>
      <c r="L71" s="325"/>
    </row>
    <row r="72" spans="3:12" x14ac:dyDescent="0.25">
      <c r="C72" s="150"/>
      <c r="D72" s="138"/>
      <c r="E72" s="138"/>
      <c r="F72" s="138"/>
      <c r="G72" s="315">
        <v>0</v>
      </c>
      <c r="H72" s="316"/>
      <c r="I72" s="316">
        <f t="shared" ref="I72" si="20">G72-H72</f>
        <v>0</v>
      </c>
      <c r="J72" s="149">
        <v>0</v>
      </c>
      <c r="K72" s="168" t="str">
        <f t="shared" si="4"/>
        <v xml:space="preserve"> </v>
      </c>
      <c r="L72" s="120"/>
    </row>
    <row r="73" spans="3:12" x14ac:dyDescent="0.25">
      <c r="C73" s="150"/>
      <c r="D73" s="138"/>
      <c r="E73" s="138"/>
      <c r="F73" s="138"/>
      <c r="G73" s="315">
        <v>0</v>
      </c>
      <c r="H73" s="316"/>
      <c r="I73" s="316">
        <f t="shared" ref="I73" si="21">G73-H73</f>
        <v>0</v>
      </c>
      <c r="J73" s="149">
        <v>0</v>
      </c>
      <c r="K73" s="168" t="str">
        <f t="shared" si="4"/>
        <v xml:space="preserve"> </v>
      </c>
      <c r="L73" s="120"/>
    </row>
    <row r="74" spans="3:12" ht="15.75" thickBot="1" x14ac:dyDescent="0.3">
      <c r="C74" s="151" t="s">
        <v>1</v>
      </c>
      <c r="D74" s="152"/>
      <c r="E74" s="152"/>
      <c r="F74" s="152"/>
      <c r="G74" s="161">
        <f>SUM(G70:G73)</f>
        <v>195</v>
      </c>
      <c r="H74" s="161">
        <f>SUM(H70:H73)</f>
        <v>0</v>
      </c>
      <c r="I74" s="161">
        <f>SUM(I70:I73)</f>
        <v>195</v>
      </c>
      <c r="J74" s="162">
        <f>SUM(J70:J73)</f>
        <v>0</v>
      </c>
      <c r="K74" s="168" t="str">
        <f t="shared" si="4"/>
        <v xml:space="preserve"> </v>
      </c>
      <c r="L74" s="120"/>
    </row>
    <row r="75" spans="3:12" ht="6.75" customHeight="1" thickBot="1" x14ac:dyDescent="0.3">
      <c r="C75" s="153"/>
      <c r="D75" s="153"/>
      <c r="E75" s="153"/>
      <c r="F75" s="153"/>
      <c r="G75" s="153"/>
      <c r="H75" s="153"/>
      <c r="I75" s="153"/>
      <c r="J75" s="153"/>
      <c r="K75" s="168" t="str">
        <f t="shared" si="4"/>
        <v xml:space="preserve"> </v>
      </c>
      <c r="L75" s="120"/>
    </row>
    <row r="76" spans="3:12" x14ac:dyDescent="0.25">
      <c r="C76" s="431" t="s">
        <v>124</v>
      </c>
      <c r="D76" s="432"/>
      <c r="E76" s="432"/>
      <c r="F76" s="432"/>
      <c r="G76" s="432"/>
      <c r="H76" s="432"/>
      <c r="I76" s="432"/>
      <c r="J76" s="433"/>
      <c r="K76" s="168" t="str">
        <f t="shared" si="4"/>
        <v xml:space="preserve"> </v>
      </c>
      <c r="L76" s="120"/>
    </row>
    <row r="77" spans="3:12" x14ac:dyDescent="0.25">
      <c r="C77" s="227"/>
      <c r="D77" s="221" t="s">
        <v>171</v>
      </c>
      <c r="E77" s="298">
        <v>200</v>
      </c>
      <c r="F77" s="299">
        <v>8</v>
      </c>
      <c r="G77" s="297">
        <f>E77*F77</f>
        <v>1600</v>
      </c>
      <c r="H77" s="300"/>
      <c r="I77" s="300">
        <f>G77-H77</f>
        <v>1600</v>
      </c>
      <c r="J77" s="301">
        <v>0</v>
      </c>
      <c r="K77" s="168" t="str">
        <f t="shared" si="4"/>
        <v xml:space="preserve"> </v>
      </c>
      <c r="L77" s="120"/>
    </row>
    <row r="78" spans="3:12" ht="30" x14ac:dyDescent="0.25">
      <c r="C78" s="227"/>
      <c r="D78" s="270" t="s">
        <v>173</v>
      </c>
      <c r="E78" s="298"/>
      <c r="F78" s="302"/>
      <c r="G78" s="297">
        <v>2000</v>
      </c>
      <c r="H78" s="303"/>
      <c r="I78" s="300">
        <f>G78-H78</f>
        <v>2000</v>
      </c>
      <c r="J78" s="301">
        <v>0</v>
      </c>
      <c r="K78" s="168"/>
      <c r="L78" s="120"/>
    </row>
    <row r="79" spans="3:12" x14ac:dyDescent="0.25">
      <c r="C79" s="227"/>
      <c r="D79" s="144" t="s">
        <v>125</v>
      </c>
      <c r="E79" s="298">
        <f>REV_Fees!O7</f>
        <v>775</v>
      </c>
      <c r="F79" s="299"/>
      <c r="G79" s="297">
        <f>F79*E79</f>
        <v>0</v>
      </c>
      <c r="H79" s="300"/>
      <c r="I79" s="300">
        <f>G79-H79</f>
        <v>0</v>
      </c>
      <c r="J79" s="301">
        <v>0</v>
      </c>
      <c r="K79" s="168" t="str">
        <f t="shared" si="4"/>
        <v xml:space="preserve"> </v>
      </c>
      <c r="L79" s="222">
        <f>H79+H90+H104</f>
        <v>0</v>
      </c>
    </row>
    <row r="80" spans="3:12" x14ac:dyDescent="0.25">
      <c r="C80" s="227"/>
      <c r="D80" s="206" t="s">
        <v>158</v>
      </c>
      <c r="E80" s="304"/>
      <c r="F80" s="299"/>
      <c r="G80" s="297">
        <v>0</v>
      </c>
      <c r="H80" s="300"/>
      <c r="I80" s="300">
        <f t="shared" ref="I80:I85" si="22">G80-H80</f>
        <v>0</v>
      </c>
      <c r="J80" s="301">
        <v>0</v>
      </c>
      <c r="K80" s="168" t="str">
        <f t="shared" si="4"/>
        <v xml:space="preserve"> </v>
      </c>
      <c r="L80" s="120"/>
    </row>
    <row r="81" spans="3:13" ht="30" x14ac:dyDescent="0.25">
      <c r="C81" s="236"/>
      <c r="D81" s="394" t="s">
        <v>253</v>
      </c>
      <c r="E81" s="304"/>
      <c r="F81" s="304"/>
      <c r="G81" s="297">
        <f>REV_Sponsoring!J5*REV_Sponsoring!J4*0.2</f>
        <v>8000</v>
      </c>
      <c r="H81" s="300"/>
      <c r="I81" s="300">
        <f t="shared" ref="I81:I84" si="23">G81-H81</f>
        <v>8000</v>
      </c>
      <c r="J81" s="301">
        <v>0</v>
      </c>
      <c r="K81" s="168"/>
      <c r="L81" s="120"/>
    </row>
    <row r="82" spans="3:13" ht="30" x14ac:dyDescent="0.25">
      <c r="C82" s="236"/>
      <c r="D82" s="394" t="s">
        <v>254</v>
      </c>
      <c r="E82" s="304"/>
      <c r="F82" s="304"/>
      <c r="G82" s="297">
        <f>REV_Sponsoring!K5*REV_Sponsoring!K4*0.2</f>
        <v>8000</v>
      </c>
      <c r="H82" s="300"/>
      <c r="I82" s="300">
        <f t="shared" si="23"/>
        <v>8000</v>
      </c>
      <c r="J82" s="301">
        <v>0</v>
      </c>
      <c r="K82" s="168"/>
      <c r="L82" s="120"/>
    </row>
    <row r="83" spans="3:13" ht="30" x14ac:dyDescent="0.25">
      <c r="C83" s="236"/>
      <c r="D83" s="394" t="s">
        <v>255</v>
      </c>
      <c r="E83" s="304"/>
      <c r="F83" s="304"/>
      <c r="G83" s="297">
        <f>REV_Sponsoring!L5*REV_Sponsoring!L4*0.2</f>
        <v>3000</v>
      </c>
      <c r="H83" s="300"/>
      <c r="I83" s="300">
        <f t="shared" si="23"/>
        <v>3000</v>
      </c>
      <c r="J83" s="301">
        <v>0</v>
      </c>
      <c r="K83" s="168"/>
      <c r="L83" s="120"/>
    </row>
    <row r="84" spans="3:13" x14ac:dyDescent="0.25">
      <c r="C84" s="236"/>
      <c r="D84" s="271" t="s">
        <v>191</v>
      </c>
      <c r="E84" s="304"/>
      <c r="F84" s="304"/>
      <c r="G84" s="297">
        <v>0</v>
      </c>
      <c r="H84" s="300"/>
      <c r="I84" s="300">
        <f t="shared" si="23"/>
        <v>0</v>
      </c>
      <c r="J84" s="301">
        <v>0</v>
      </c>
      <c r="K84" s="168"/>
      <c r="L84" s="120"/>
    </row>
    <row r="85" spans="3:13" x14ac:dyDescent="0.25">
      <c r="C85" s="150"/>
      <c r="D85" s="138"/>
      <c r="E85" s="138"/>
      <c r="F85" s="138"/>
      <c r="G85" s="139"/>
      <c r="H85" s="141">
        <f t="shared" ref="H85" si="24">G85</f>
        <v>0</v>
      </c>
      <c r="I85" s="141">
        <f t="shared" si="22"/>
        <v>0</v>
      </c>
      <c r="J85" s="149">
        <v>0</v>
      </c>
      <c r="K85" s="168" t="str">
        <f t="shared" si="4"/>
        <v xml:space="preserve"> </v>
      </c>
      <c r="L85" s="120"/>
    </row>
    <row r="86" spans="3:13" ht="15.75" thickBot="1" x14ac:dyDescent="0.3">
      <c r="C86" s="151" t="s">
        <v>1</v>
      </c>
      <c r="D86" s="152"/>
      <c r="E86" s="152"/>
      <c r="F86" s="152"/>
      <c r="G86" s="161">
        <f>SUM(G77:G85)</f>
        <v>22600</v>
      </c>
      <c r="H86" s="161">
        <f>SUM(H77:H85)</f>
        <v>0</v>
      </c>
      <c r="I86" s="161">
        <f>SUM(I77:I85)</f>
        <v>22600</v>
      </c>
      <c r="J86" s="162">
        <f>SUM(J77:J85)</f>
        <v>0</v>
      </c>
      <c r="K86" s="168" t="str">
        <f t="shared" si="4"/>
        <v xml:space="preserve"> </v>
      </c>
      <c r="L86" s="120"/>
    </row>
    <row r="87" spans="3:13" ht="8.1" customHeight="1" thickBot="1" x14ac:dyDescent="0.3">
      <c r="C87" s="159"/>
      <c r="D87" s="153"/>
      <c r="E87" s="153"/>
      <c r="F87" s="153"/>
      <c r="G87" s="153"/>
      <c r="H87" s="153"/>
      <c r="I87" s="153"/>
      <c r="J87" s="160"/>
      <c r="K87" s="168" t="str">
        <f t="shared" si="4"/>
        <v xml:space="preserve"> </v>
      </c>
      <c r="L87" s="120"/>
    </row>
    <row r="88" spans="3:13" x14ac:dyDescent="0.25">
      <c r="C88" s="434" t="s">
        <v>103</v>
      </c>
      <c r="D88" s="435"/>
      <c r="E88" s="435"/>
      <c r="F88" s="435"/>
      <c r="G88" s="435"/>
      <c r="H88" s="435"/>
      <c r="I88" s="435"/>
      <c r="J88" s="436"/>
      <c r="K88" s="168" t="str">
        <f t="shared" ref="K88:K109" si="25">IF(G88&lt;J88,"!!!"," ")</f>
        <v xml:space="preserve"> </v>
      </c>
      <c r="L88" s="120"/>
    </row>
    <row r="89" spans="3:13" s="322" customFormat="1" x14ac:dyDescent="0.25">
      <c r="C89" s="319"/>
      <c r="D89" s="309" t="s">
        <v>204</v>
      </c>
      <c r="E89" s="309">
        <f>(246.24*3)+716+71+191+152</f>
        <v>1868.72</v>
      </c>
      <c r="F89" s="317">
        <v>1</v>
      </c>
      <c r="G89" s="316">
        <f>E89*F89</f>
        <v>1868.72</v>
      </c>
      <c r="H89" s="316"/>
      <c r="I89" s="316">
        <f>G89-H89</f>
        <v>1868.72</v>
      </c>
      <c r="J89" s="320">
        <v>0</v>
      </c>
      <c r="K89" s="253" t="s">
        <v>216</v>
      </c>
      <c r="L89" s="325"/>
    </row>
    <row r="90" spans="3:13" x14ac:dyDescent="0.25">
      <c r="C90" s="227"/>
      <c r="D90" s="214" t="s">
        <v>110</v>
      </c>
      <c r="E90" s="276"/>
      <c r="F90" s="276"/>
      <c r="G90" s="316">
        <v>0</v>
      </c>
      <c r="H90" s="316"/>
      <c r="I90" s="316">
        <f>G90-H90</f>
        <v>0</v>
      </c>
      <c r="J90" s="149">
        <v>0</v>
      </c>
      <c r="K90" s="168" t="str">
        <f t="shared" si="25"/>
        <v xml:space="preserve"> </v>
      </c>
      <c r="L90" s="120"/>
    </row>
    <row r="91" spans="3:13" x14ac:dyDescent="0.25">
      <c r="C91" s="227"/>
      <c r="D91" s="215" t="s">
        <v>123</v>
      </c>
      <c r="E91" s="276"/>
      <c r="F91" s="276"/>
      <c r="G91" s="316">
        <v>0</v>
      </c>
      <c r="H91" s="316"/>
      <c r="I91" s="316">
        <f>G91-H91</f>
        <v>0</v>
      </c>
      <c r="J91" s="149">
        <v>0</v>
      </c>
      <c r="K91" s="168" t="str">
        <f t="shared" si="25"/>
        <v xml:space="preserve"> </v>
      </c>
      <c r="L91" s="120"/>
    </row>
    <row r="92" spans="3:13" x14ac:dyDescent="0.25">
      <c r="C92" s="227"/>
      <c r="D92" s="213" t="s">
        <v>162</v>
      </c>
      <c r="E92" s="276"/>
      <c r="F92" s="276"/>
      <c r="G92" s="316">
        <v>0</v>
      </c>
      <c r="H92" s="316"/>
      <c r="I92" s="316">
        <f>G92-H92</f>
        <v>0</v>
      </c>
      <c r="J92" s="149"/>
      <c r="K92" s="168"/>
      <c r="L92" s="120"/>
    </row>
    <row r="93" spans="3:13" x14ac:dyDescent="0.25">
      <c r="C93" s="227"/>
      <c r="D93" s="215" t="s">
        <v>117</v>
      </c>
      <c r="E93" s="275"/>
      <c r="F93" s="276"/>
      <c r="G93" s="316">
        <v>0</v>
      </c>
      <c r="H93" s="316"/>
      <c r="I93" s="316">
        <f t="shared" ref="I93" si="26">G93-H93</f>
        <v>0</v>
      </c>
      <c r="J93" s="149">
        <v>0</v>
      </c>
      <c r="K93" s="168" t="str">
        <f t="shared" si="25"/>
        <v xml:space="preserve"> </v>
      </c>
      <c r="L93" s="220"/>
      <c r="M93" s="163"/>
    </row>
    <row r="94" spans="3:13" x14ac:dyDescent="0.25">
      <c r="C94" s="148"/>
      <c r="D94" s="144"/>
      <c r="E94" s="275"/>
      <c r="F94" s="276"/>
      <c r="G94" s="275"/>
      <c r="H94" s="277"/>
      <c r="I94" s="277"/>
      <c r="J94" s="149"/>
      <c r="K94" s="168" t="str">
        <f t="shared" si="25"/>
        <v xml:space="preserve"> </v>
      </c>
      <c r="L94" s="254"/>
    </row>
    <row r="95" spans="3:13" s="322" customFormat="1" x14ac:dyDescent="0.25">
      <c r="C95" s="319"/>
      <c r="D95" s="317" t="s">
        <v>120</v>
      </c>
      <c r="E95" s="327">
        <v>1478.35</v>
      </c>
      <c r="F95" s="326">
        <v>1</v>
      </c>
      <c r="G95" s="327">
        <f>E95*F95</f>
        <v>1478.35</v>
      </c>
      <c r="H95" s="328"/>
      <c r="I95" s="328">
        <f t="shared" ref="I95" si="27">G95-H95</f>
        <v>1478.35</v>
      </c>
      <c r="J95" s="320">
        <v>0</v>
      </c>
      <c r="K95" s="253" t="s">
        <v>217</v>
      </c>
      <c r="L95" s="325"/>
    </row>
    <row r="96" spans="3:13" x14ac:dyDescent="0.25">
      <c r="C96" s="238"/>
      <c r="D96" s="326" t="s">
        <v>214</v>
      </c>
      <c r="E96" s="327">
        <v>160</v>
      </c>
      <c r="F96" s="331">
        <v>10</v>
      </c>
      <c r="G96" s="332">
        <f>E96*F96</f>
        <v>1600</v>
      </c>
      <c r="H96" s="328"/>
      <c r="I96" s="328">
        <f>G96-H96</f>
        <v>1600</v>
      </c>
      <c r="J96" s="149">
        <v>0</v>
      </c>
      <c r="K96" s="168" t="str">
        <f>IF(G96&lt;J96,"!!!"," ")</f>
        <v xml:space="preserve"> </v>
      </c>
      <c r="L96" s="230"/>
    </row>
    <row r="97" spans="3:12" x14ac:dyDescent="0.25">
      <c r="C97" s="227"/>
      <c r="D97" s="324" t="s">
        <v>215</v>
      </c>
      <c r="E97" s="329">
        <f>(30*8)+(50*8)+((30*10)*3)</f>
        <v>1540</v>
      </c>
      <c r="F97" s="345">
        <v>1</v>
      </c>
      <c r="G97" s="332">
        <f>E97*F97</f>
        <v>1540</v>
      </c>
      <c r="H97" s="330"/>
      <c r="I97" s="328">
        <f>G97-H97</f>
        <v>1540</v>
      </c>
      <c r="J97" s="149">
        <v>0</v>
      </c>
      <c r="K97" s="253" t="s">
        <v>217</v>
      </c>
      <c r="L97" s="120"/>
    </row>
    <row r="98" spans="3:12" x14ac:dyDescent="0.25">
      <c r="C98" s="150"/>
      <c r="D98" s="138"/>
      <c r="E98" s="276"/>
      <c r="F98" s="276"/>
      <c r="G98" s="275"/>
      <c r="H98" s="277"/>
      <c r="I98" s="277"/>
      <c r="J98" s="149"/>
      <c r="K98" s="168" t="str">
        <f t="shared" si="25"/>
        <v xml:space="preserve"> </v>
      </c>
      <c r="L98" s="120"/>
    </row>
    <row r="99" spans="3:12" s="322" customFormat="1" x14ac:dyDescent="0.25">
      <c r="C99" s="319"/>
      <c r="D99" s="317" t="s">
        <v>172</v>
      </c>
      <c r="E99" s="315">
        <v>1500</v>
      </c>
      <c r="F99" s="317">
        <v>1</v>
      </c>
      <c r="G99" s="315">
        <f>E99*F99</f>
        <v>1500</v>
      </c>
      <c r="H99" s="315"/>
      <c r="I99" s="316">
        <f>G99-H99</f>
        <v>1500</v>
      </c>
      <c r="J99" s="320"/>
      <c r="K99" s="253"/>
      <c r="L99" s="321"/>
    </row>
    <row r="100" spans="3:12" x14ac:dyDescent="0.25">
      <c r="C100" s="150"/>
      <c r="D100" s="138"/>
      <c r="E100" s="276"/>
      <c r="F100" s="276"/>
      <c r="G100" s="275"/>
      <c r="H100" s="277"/>
      <c r="I100" s="277"/>
      <c r="J100" s="149"/>
      <c r="K100" s="168"/>
      <c r="L100" s="255"/>
    </row>
    <row r="101" spans="3:12" ht="16.5" customHeight="1" x14ac:dyDescent="0.25">
      <c r="C101" s="227"/>
      <c r="D101" s="138" t="s">
        <v>23</v>
      </c>
      <c r="E101" s="276"/>
      <c r="F101" s="276"/>
      <c r="G101" s="297">
        <v>3000</v>
      </c>
      <c r="H101" s="300"/>
      <c r="I101" s="300">
        <f t="shared" ref="I101:I104" si="28">G101-H101</f>
        <v>3000</v>
      </c>
      <c r="J101" s="149">
        <v>0</v>
      </c>
      <c r="K101" s="168" t="str">
        <f t="shared" si="25"/>
        <v xml:space="preserve"> </v>
      </c>
      <c r="L101" s="255"/>
    </row>
    <row r="102" spans="3:12" ht="16.5" customHeight="1" x14ac:dyDescent="0.25">
      <c r="C102" s="227"/>
      <c r="D102" s="144" t="s">
        <v>115</v>
      </c>
      <c r="E102" s="276"/>
      <c r="F102" s="276"/>
      <c r="G102" s="297">
        <v>27500</v>
      </c>
      <c r="H102" s="300"/>
      <c r="I102" s="300">
        <f t="shared" si="28"/>
        <v>27500</v>
      </c>
      <c r="J102" s="149">
        <v>0</v>
      </c>
      <c r="K102" s="168" t="str">
        <f t="shared" si="25"/>
        <v xml:space="preserve"> </v>
      </c>
      <c r="L102" s="256"/>
    </row>
    <row r="103" spans="3:12" ht="16.5" customHeight="1" x14ac:dyDescent="0.25">
      <c r="C103" s="227"/>
      <c r="D103" s="215" t="s">
        <v>122</v>
      </c>
      <c r="E103" s="278"/>
      <c r="F103" s="276"/>
      <c r="G103" s="297">
        <v>1000</v>
      </c>
      <c r="H103" s="300"/>
      <c r="I103" s="300">
        <f t="shared" ref="I103" si="29">G103-H103</f>
        <v>1000</v>
      </c>
      <c r="J103" s="149">
        <v>0</v>
      </c>
      <c r="K103" s="168" t="str">
        <f t="shared" si="25"/>
        <v xml:space="preserve"> </v>
      </c>
      <c r="L103" s="256"/>
    </row>
    <row r="104" spans="3:12" ht="16.5" customHeight="1" x14ac:dyDescent="0.25">
      <c r="C104" s="227"/>
      <c r="D104" s="144" t="s">
        <v>116</v>
      </c>
      <c r="E104" s="276"/>
      <c r="F104" s="276"/>
      <c r="G104" s="297">
        <v>0</v>
      </c>
      <c r="H104" s="300"/>
      <c r="I104" s="300">
        <f t="shared" si="28"/>
        <v>0</v>
      </c>
      <c r="J104" s="149">
        <v>0</v>
      </c>
      <c r="K104" s="168" t="str">
        <f t="shared" si="25"/>
        <v xml:space="preserve"> </v>
      </c>
      <c r="L104" s="256"/>
    </row>
    <row r="105" spans="3:12" ht="16.5" customHeight="1" x14ac:dyDescent="0.25">
      <c r="C105" s="268"/>
      <c r="D105" s="246"/>
      <c r="E105" s="279"/>
      <c r="F105" s="279"/>
      <c r="G105" s="305">
        <v>0</v>
      </c>
      <c r="H105" s="306"/>
      <c r="I105" s="300">
        <f t="shared" ref="I105" si="30">G105-H105</f>
        <v>0</v>
      </c>
      <c r="J105" s="149">
        <v>0</v>
      </c>
      <c r="K105" s="168"/>
      <c r="L105" s="256"/>
    </row>
    <row r="106" spans="3:12" x14ac:dyDescent="0.25">
      <c r="C106" s="223"/>
      <c r="D106" s="224"/>
      <c r="E106" s="279"/>
      <c r="F106" s="279"/>
      <c r="G106" s="280"/>
      <c r="H106" s="279"/>
      <c r="I106" s="280"/>
      <c r="J106" s="225"/>
      <c r="K106" s="168"/>
      <c r="L106" s="256"/>
    </row>
    <row r="107" spans="3:12" ht="15.75" thickBot="1" x14ac:dyDescent="0.3">
      <c r="C107" s="151" t="s">
        <v>1</v>
      </c>
      <c r="D107" s="152"/>
      <c r="E107" s="152"/>
      <c r="F107" s="152"/>
      <c r="G107" s="161">
        <f>SUM(G89:G106)</f>
        <v>39487.07</v>
      </c>
      <c r="H107" s="161">
        <f>SUM(H89:H106)</f>
        <v>0</v>
      </c>
      <c r="I107" s="161">
        <f>SUM(I89:I106)</f>
        <v>39487.07</v>
      </c>
      <c r="J107" s="162">
        <f>SUM(J89:J106)</f>
        <v>0</v>
      </c>
      <c r="K107" s="168" t="str">
        <f t="shared" si="25"/>
        <v xml:space="preserve"> </v>
      </c>
      <c r="L107" s="256"/>
    </row>
    <row r="108" spans="3:12" ht="9.9499999999999993" customHeight="1" thickBot="1" x14ac:dyDescent="0.3">
      <c r="C108" s="140"/>
      <c r="D108" s="140"/>
      <c r="E108" s="140"/>
      <c r="F108" s="140"/>
      <c r="G108" s="140"/>
      <c r="H108" s="140"/>
      <c r="I108" s="140"/>
      <c r="J108" s="140"/>
      <c r="K108" s="168" t="str">
        <f t="shared" si="25"/>
        <v xml:space="preserve"> </v>
      </c>
      <c r="L108" s="255"/>
    </row>
    <row r="109" spans="3:12" ht="15.75" thickBot="1" x14ac:dyDescent="0.3">
      <c r="C109" s="145" t="s">
        <v>2</v>
      </c>
      <c r="D109" s="146"/>
      <c r="E109" s="146"/>
      <c r="F109" s="146"/>
      <c r="G109" s="147">
        <f>G24+G34+G42+G51+G59+G67+G74+G107+G86</f>
        <v>231339.64</v>
      </c>
      <c r="H109" s="147">
        <f>H24+H34+H42+H51+H59+H67+H74+H107+H86</f>
        <v>0</v>
      </c>
      <c r="I109" s="147">
        <f>I24+I34+I42+I51+I59+I67+I74+I107+I86</f>
        <v>231339.64</v>
      </c>
      <c r="J109" s="147">
        <f>J24+J34+J42+J51+J59+J67+J74+J107+J86</f>
        <v>0</v>
      </c>
      <c r="K109" s="168" t="str">
        <f t="shared" si="25"/>
        <v xml:space="preserve"> </v>
      </c>
      <c r="L109" s="255"/>
    </row>
    <row r="110" spans="3:12" x14ac:dyDescent="0.25">
      <c r="L110" s="257"/>
    </row>
    <row r="116" spans="6:8" x14ac:dyDescent="0.25">
      <c r="F116" s="208" t="s">
        <v>161</v>
      </c>
      <c r="G116" s="209">
        <f>G109/J3</f>
        <v>925.35856000000001</v>
      </c>
      <c r="H116" s="209">
        <f>H109/J3</f>
        <v>0</v>
      </c>
    </row>
  </sheetData>
  <mergeCells count="16">
    <mergeCell ref="C36:J36"/>
    <mergeCell ref="C44:J44"/>
    <mergeCell ref="C61:J61"/>
    <mergeCell ref="C69:J69"/>
    <mergeCell ref="C88:J88"/>
    <mergeCell ref="C53:J53"/>
    <mergeCell ref="C76:J76"/>
    <mergeCell ref="C27:J27"/>
    <mergeCell ref="N10:S10"/>
    <mergeCell ref="N9:S9"/>
    <mergeCell ref="C3:I3"/>
    <mergeCell ref="C6:J6"/>
    <mergeCell ref="C9:J9"/>
    <mergeCell ref="C8:J8"/>
    <mergeCell ref="C10:J10"/>
    <mergeCell ref="C26:J26"/>
  </mergeCells>
  <pageMargins left="0.7" right="0.7" top="0.78740157499999996" bottom="0.78740157499999996" header="0.3" footer="0.3"/>
  <pageSetup paperSize="9" scale="68" orientation="portrait" verticalDpi="0" r:id="rId1"/>
  <rowBreaks count="1" manualBreakCount="1">
    <brk id="67" min="2" max="10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22"/>
  <sheetViews>
    <sheetView topLeftCell="M1" zoomScaleNormal="100" workbookViewId="0">
      <selection activeCell="Z11" sqref="Z11"/>
    </sheetView>
  </sheetViews>
  <sheetFormatPr baseColWidth="10" defaultColWidth="8.88671875" defaultRowHeight="15" x14ac:dyDescent="0.25"/>
  <cols>
    <col min="1" max="2" width="8.88671875" style="80"/>
    <col min="3" max="3" width="31.77734375" style="80" customWidth="1"/>
    <col min="4" max="4" width="24.109375" style="80" customWidth="1"/>
    <col min="5" max="5" width="18.44140625" style="80" customWidth="1"/>
    <col min="6" max="6" width="16.6640625" style="80" customWidth="1"/>
    <col min="7" max="7" width="1.109375" style="80" customWidth="1"/>
    <col min="8" max="8" width="43.88671875" style="80" customWidth="1"/>
    <col min="9" max="9" width="15.6640625" style="80" customWidth="1"/>
    <col min="10" max="10" width="14.88671875" style="80" customWidth="1"/>
    <col min="11" max="11" width="15.6640625" style="80" customWidth="1"/>
    <col min="12" max="12" width="8.88671875" style="80"/>
    <col min="13" max="13" width="3.33203125" style="80" customWidth="1"/>
    <col min="14" max="14" width="25.5546875" style="80" customWidth="1"/>
    <col min="15" max="15" width="10.77734375" style="80" customWidth="1"/>
    <col min="16" max="16" width="8.109375" style="80" customWidth="1"/>
    <col min="17" max="17" width="11" style="80" customWidth="1"/>
    <col min="18" max="18" width="11.44140625" style="80" bestFit="1" customWidth="1"/>
    <col min="19" max="19" width="10.21875" style="80" customWidth="1"/>
    <col min="20" max="20" width="8.88671875" style="80" customWidth="1"/>
    <col min="21" max="21" width="13.109375" style="81" customWidth="1"/>
    <col min="22" max="22" width="11.5546875" style="80" customWidth="1"/>
    <col min="23" max="23" width="8.88671875" style="80"/>
    <col min="24" max="24" width="17.21875" style="80" customWidth="1"/>
    <col min="25" max="16384" width="8.88671875" style="80"/>
  </cols>
  <sheetData>
    <row r="1" spans="2:30" x14ac:dyDescent="0.25">
      <c r="N1" s="80" t="s">
        <v>86</v>
      </c>
    </row>
    <row r="2" spans="2:30" x14ac:dyDescent="0.25">
      <c r="Q2" s="245">
        <f>Q16</f>
        <v>250</v>
      </c>
      <c r="R2" s="204" t="s">
        <v>45</v>
      </c>
      <c r="S2" s="203" t="s">
        <v>157</v>
      </c>
      <c r="T2" s="203"/>
    </row>
    <row r="3" spans="2:30" ht="15.75" thickBot="1" x14ac:dyDescent="0.3">
      <c r="G3" s="81" t="s">
        <v>30</v>
      </c>
      <c r="J3" s="80" t="s">
        <v>31</v>
      </c>
    </row>
    <row r="4" spans="2:30" ht="30" x14ac:dyDescent="0.25">
      <c r="C4" s="82"/>
      <c r="D4" s="83" t="s">
        <v>16</v>
      </c>
      <c r="E4" s="83" t="s">
        <v>17</v>
      </c>
      <c r="F4" s="84" t="s">
        <v>18</v>
      </c>
      <c r="G4" s="85"/>
      <c r="I4" s="86" t="s">
        <v>16</v>
      </c>
      <c r="J4" s="86" t="s">
        <v>17</v>
      </c>
      <c r="K4" s="86" t="s">
        <v>174</v>
      </c>
      <c r="N4" s="87"/>
      <c r="O4" s="114" t="s">
        <v>175</v>
      </c>
      <c r="P4" s="114" t="s">
        <v>166</v>
      </c>
      <c r="Q4" s="114" t="s">
        <v>87</v>
      </c>
      <c r="R4" s="114" t="s">
        <v>2</v>
      </c>
      <c r="S4" s="114" t="s">
        <v>176</v>
      </c>
      <c r="T4" s="114" t="s">
        <v>166</v>
      </c>
      <c r="U4" s="114" t="s">
        <v>87</v>
      </c>
      <c r="V4" s="115" t="s">
        <v>2</v>
      </c>
      <c r="AA4" s="447" t="s">
        <v>225</v>
      </c>
      <c r="AB4" s="448"/>
      <c r="AC4" s="449" t="s">
        <v>226</v>
      </c>
      <c r="AD4" s="450"/>
    </row>
    <row r="5" spans="2:30" ht="35.25" customHeight="1" x14ac:dyDescent="0.25">
      <c r="B5" s="88"/>
      <c r="C5" s="89" t="s">
        <v>19</v>
      </c>
      <c r="D5" s="226" t="s">
        <v>24</v>
      </c>
      <c r="E5" s="437" t="s">
        <v>25</v>
      </c>
      <c r="F5" s="438"/>
      <c r="G5" s="85"/>
      <c r="H5" s="91" t="s">
        <v>19</v>
      </c>
      <c r="I5" s="90" t="s">
        <v>33</v>
      </c>
      <c r="J5" s="437" t="s">
        <v>25</v>
      </c>
      <c r="K5" s="439"/>
      <c r="N5" s="92" t="s">
        <v>19</v>
      </c>
      <c r="O5" s="125">
        <v>675</v>
      </c>
      <c r="P5" s="125">
        <f>O5*(1+$O$20)</f>
        <v>816.75</v>
      </c>
      <c r="Q5" s="231">
        <v>38</v>
      </c>
      <c r="R5" s="125">
        <f>O5*Q5</f>
        <v>25650</v>
      </c>
      <c r="S5" s="125">
        <v>675</v>
      </c>
      <c r="T5" s="125">
        <f>S5*(1+$O$20)</f>
        <v>816.75</v>
      </c>
      <c r="U5" s="239">
        <v>0</v>
      </c>
      <c r="V5" s="130">
        <f>+U5*$Q$2*S5</f>
        <v>0</v>
      </c>
      <c r="W5" s="451" t="s">
        <v>81</v>
      </c>
      <c r="X5" s="452"/>
      <c r="Y5" s="452"/>
      <c r="AA5" s="338"/>
      <c r="AB5" s="13"/>
      <c r="AC5" s="340" t="s">
        <v>227</v>
      </c>
      <c r="AD5" s="340" t="s">
        <v>228</v>
      </c>
    </row>
    <row r="6" spans="2:30" x14ac:dyDescent="0.25">
      <c r="C6" s="93" t="s">
        <v>29</v>
      </c>
      <c r="D6" s="94">
        <v>575</v>
      </c>
      <c r="E6" s="94">
        <f t="shared" ref="E6:F7" si="0">+D6+75</f>
        <v>650</v>
      </c>
      <c r="F6" s="95">
        <f t="shared" si="0"/>
        <v>725</v>
      </c>
      <c r="G6" s="85"/>
      <c r="H6" s="96" t="s">
        <v>29</v>
      </c>
      <c r="I6" s="94" t="s">
        <v>32</v>
      </c>
      <c r="J6" s="94">
        <v>650</v>
      </c>
      <c r="K6" s="94" t="s">
        <v>40</v>
      </c>
      <c r="N6" s="97" t="s">
        <v>29</v>
      </c>
      <c r="O6" s="126">
        <v>725</v>
      </c>
      <c r="P6" s="125">
        <f t="shared" ref="P6:P9" si="1">O6*(1+$O$20)</f>
        <v>877.25</v>
      </c>
      <c r="Q6" s="232">
        <v>4</v>
      </c>
      <c r="R6" s="125">
        <f t="shared" ref="R6:R9" si="2">O6*Q6</f>
        <v>2900</v>
      </c>
      <c r="S6" s="126">
        <v>825</v>
      </c>
      <c r="T6" s="125">
        <f t="shared" ref="T6:T9" si="3">S6*(1+$O$20)</f>
        <v>998.25</v>
      </c>
      <c r="U6" s="239">
        <v>0</v>
      </c>
      <c r="V6" s="130">
        <f t="shared" ref="V6:V8" si="4">+U6*$Q$2*S6</f>
        <v>0</v>
      </c>
      <c r="AA6" s="341" t="str">
        <f>IF(ISBLANK(OVERVIEW_Budget!I9),"",OVERVIEW_Budget!I9)</f>
        <v/>
      </c>
      <c r="AB6" s="337">
        <v>200</v>
      </c>
      <c r="AC6" s="337">
        <v>122</v>
      </c>
      <c r="AD6" s="337">
        <v>0</v>
      </c>
    </row>
    <row r="7" spans="2:30" x14ac:dyDescent="0.25">
      <c r="C7" s="93" t="s">
        <v>15</v>
      </c>
      <c r="D7" s="94">
        <v>650</v>
      </c>
      <c r="E7" s="94">
        <f t="shared" si="0"/>
        <v>725</v>
      </c>
      <c r="F7" s="95">
        <f t="shared" si="0"/>
        <v>800</v>
      </c>
      <c r="G7" s="85"/>
      <c r="H7" s="96" t="s">
        <v>15</v>
      </c>
      <c r="I7" s="94" t="s">
        <v>32</v>
      </c>
      <c r="J7" s="94">
        <v>700</v>
      </c>
      <c r="K7" s="94" t="s">
        <v>40</v>
      </c>
      <c r="N7" s="97" t="s">
        <v>15</v>
      </c>
      <c r="O7" s="126">
        <v>775</v>
      </c>
      <c r="P7" s="125">
        <f t="shared" si="1"/>
        <v>937.75</v>
      </c>
      <c r="Q7" s="232">
        <f>VLOOKUP(1,$AA$6:$AC$9,3,FALSE)</f>
        <v>152</v>
      </c>
      <c r="R7" s="125">
        <f t="shared" si="2"/>
        <v>117800</v>
      </c>
      <c r="S7" s="126">
        <v>925</v>
      </c>
      <c r="T7" s="125">
        <f t="shared" si="3"/>
        <v>1119.25</v>
      </c>
      <c r="U7" s="232">
        <f>VLOOKUP(1,$AA$6:$AD$9,4,FALSE)</f>
        <v>20</v>
      </c>
      <c r="V7" s="130">
        <f>+U7*S7</f>
        <v>18500</v>
      </c>
      <c r="AA7" s="341">
        <f>IF(ISBLANK(OVERVIEW_Budget!I10),"",OVERVIEW_Budget!I10)</f>
        <v>1</v>
      </c>
      <c r="AB7" s="337">
        <v>250</v>
      </c>
      <c r="AC7" s="337">
        <v>152</v>
      </c>
      <c r="AD7" s="337">
        <v>20</v>
      </c>
    </row>
    <row r="8" spans="2:30" s="99" customFormat="1" ht="32.25" customHeight="1" x14ac:dyDescent="0.25">
      <c r="C8" s="93" t="s">
        <v>84</v>
      </c>
      <c r="D8" s="98">
        <v>550</v>
      </c>
      <c r="E8" s="98">
        <v>625</v>
      </c>
      <c r="F8" s="100">
        <f>+F7</f>
        <v>800</v>
      </c>
      <c r="G8" s="101"/>
      <c r="H8" s="96" t="s">
        <v>85</v>
      </c>
      <c r="I8" s="98" t="str">
        <f>+I6</f>
        <v xml:space="preserve">NP-75€ </v>
      </c>
      <c r="J8" s="98">
        <f>+J6</f>
        <v>650</v>
      </c>
      <c r="K8" s="98" t="str">
        <f>+K7</f>
        <v xml:space="preserve">NP+75€ </v>
      </c>
      <c r="N8" s="102" t="s">
        <v>79</v>
      </c>
      <c r="O8" s="127">
        <v>775</v>
      </c>
      <c r="P8" s="125">
        <f t="shared" si="1"/>
        <v>937.75</v>
      </c>
      <c r="Q8" s="233">
        <v>6</v>
      </c>
      <c r="R8" s="125">
        <f t="shared" si="2"/>
        <v>4650</v>
      </c>
      <c r="S8" s="127">
        <v>775</v>
      </c>
      <c r="T8" s="125">
        <f t="shared" si="3"/>
        <v>937.75</v>
      </c>
      <c r="U8" s="240">
        <v>0</v>
      </c>
      <c r="V8" s="130">
        <f t="shared" si="4"/>
        <v>0</v>
      </c>
      <c r="Y8" s="103"/>
      <c r="AA8" s="341" t="str">
        <f>IF(ISBLANK(OVERVIEW_Budget!I11),"",OVERVIEW_Budget!I11)</f>
        <v/>
      </c>
      <c r="AB8" s="339">
        <v>300</v>
      </c>
      <c r="AC8" s="339">
        <v>182</v>
      </c>
      <c r="AD8" s="339">
        <v>40</v>
      </c>
    </row>
    <row r="9" spans="2:30" s="99" customFormat="1" ht="32.25" customHeight="1" x14ac:dyDescent="0.25">
      <c r="C9" s="104"/>
      <c r="D9" s="252"/>
      <c r="E9" s="252"/>
      <c r="F9" s="252"/>
      <c r="G9" s="101"/>
      <c r="H9" s="104"/>
      <c r="I9" s="252"/>
      <c r="J9" s="252"/>
      <c r="K9" s="252"/>
      <c r="N9" s="102" t="s">
        <v>185</v>
      </c>
      <c r="O9" s="127">
        <v>120</v>
      </c>
      <c r="P9" s="125">
        <f t="shared" si="1"/>
        <v>145.19999999999999</v>
      </c>
      <c r="Q9" s="233">
        <v>20</v>
      </c>
      <c r="R9" s="125">
        <f t="shared" si="2"/>
        <v>2400</v>
      </c>
      <c r="S9" s="127">
        <v>140</v>
      </c>
      <c r="T9" s="125">
        <f t="shared" si="3"/>
        <v>169.4</v>
      </c>
      <c r="U9" s="240">
        <v>0</v>
      </c>
      <c r="V9" s="130">
        <f>+U9*S9</f>
        <v>0</v>
      </c>
      <c r="Y9" s="103"/>
      <c r="AA9" s="341" t="str">
        <f>IF(ISBLANK(OVERVIEW_Budget!I12),"",OVERVIEW_Budget!I12)</f>
        <v/>
      </c>
      <c r="AB9" s="339">
        <v>350</v>
      </c>
      <c r="AC9" s="339">
        <v>212</v>
      </c>
      <c r="AD9" s="339">
        <v>60</v>
      </c>
    </row>
    <row r="10" spans="2:30" x14ac:dyDescent="0.25">
      <c r="C10" s="104"/>
      <c r="D10" s="105"/>
      <c r="E10" s="105"/>
      <c r="F10" s="105"/>
      <c r="G10" s="85"/>
      <c r="N10" s="97"/>
      <c r="O10" s="98"/>
      <c r="P10" s="98"/>
      <c r="Q10" s="106"/>
      <c r="R10" s="125"/>
      <c r="S10" s="126"/>
      <c r="T10" s="126"/>
      <c r="U10" s="106"/>
      <c r="V10" s="130"/>
      <c r="Y10" s="242" t="s">
        <v>178</v>
      </c>
      <c r="AA10" s="337"/>
      <c r="AB10" s="337"/>
      <c r="AC10" s="337"/>
      <c r="AD10" s="337"/>
    </row>
    <row r="11" spans="2:30" x14ac:dyDescent="0.25">
      <c r="C11" s="104"/>
      <c r="D11" s="105"/>
      <c r="E11" s="105"/>
      <c r="F11" s="105"/>
      <c r="G11" s="85"/>
      <c r="N11" s="97" t="s">
        <v>80</v>
      </c>
      <c r="O11" s="98"/>
      <c r="P11" s="98"/>
      <c r="Q11" s="106"/>
      <c r="R11" s="125">
        <f>-SUM(R5:R9)*1.21*0.0395</f>
        <v>-7331.7529999999997</v>
      </c>
      <c r="S11" s="126"/>
      <c r="T11" s="126"/>
      <c r="U11" s="106"/>
      <c r="V11" s="130">
        <f>-SUM(V5:V9)*1.21*0.0395</f>
        <v>-884.20749999999998</v>
      </c>
      <c r="X11" s="242" t="s">
        <v>179</v>
      </c>
      <c r="Y11" s="80">
        <f>4*REV_Sponsoring!J5+2*REV_Sponsoring!K5+1*REV_Sponsoring!L5</f>
        <v>23</v>
      </c>
      <c r="Z11" s="483" t="s">
        <v>259</v>
      </c>
    </row>
    <row r="12" spans="2:30" x14ac:dyDescent="0.25">
      <c r="C12" s="104"/>
      <c r="D12" s="105"/>
      <c r="E12" s="105"/>
      <c r="F12" s="105"/>
      <c r="G12" s="85"/>
      <c r="N12" s="97" t="s">
        <v>199</v>
      </c>
      <c r="O12" s="98"/>
      <c r="P12" s="98"/>
      <c r="Q12" s="106"/>
      <c r="R12" s="125">
        <f>-SUM(R5:R8)*0.06</f>
        <v>-9060</v>
      </c>
      <c r="S12" s="126"/>
      <c r="T12" s="126"/>
      <c r="U12" s="106"/>
      <c r="V12" s="130">
        <f>-SUM(V5:V8)*0.06</f>
        <v>-1110</v>
      </c>
      <c r="X12" s="242" t="s">
        <v>180</v>
      </c>
      <c r="Y12" s="80">
        <v>4</v>
      </c>
    </row>
    <row r="13" spans="2:30" x14ac:dyDescent="0.25">
      <c r="C13" s="104"/>
      <c r="D13" s="105"/>
      <c r="E13" s="105"/>
      <c r="F13" s="105"/>
      <c r="G13" s="85"/>
      <c r="N13" s="97"/>
      <c r="O13" s="98"/>
      <c r="P13" s="98"/>
      <c r="Q13" s="106"/>
      <c r="R13" s="125"/>
      <c r="S13" s="126"/>
      <c r="T13" s="126"/>
      <c r="U13" s="106"/>
      <c r="V13" s="130"/>
      <c r="X13" s="242" t="s">
        <v>181</v>
      </c>
      <c r="Y13" s="80">
        <v>0</v>
      </c>
    </row>
    <row r="14" spans="2:30" ht="15.75" thickBot="1" x14ac:dyDescent="0.3">
      <c r="N14" s="107"/>
      <c r="O14" s="289"/>
      <c r="P14" s="289"/>
      <c r="Q14" s="290">
        <f>SUM(Q5:Q8)+U14+Y16</f>
        <v>220</v>
      </c>
      <c r="R14" s="128">
        <f>SUM(R5:R12)</f>
        <v>137008.247</v>
      </c>
      <c r="S14" s="129"/>
      <c r="T14" s="129"/>
      <c r="U14" s="241">
        <f>SUM(U5:U8)</f>
        <v>20</v>
      </c>
      <c r="V14" s="131">
        <f>SUM(V5:V12)</f>
        <v>16505.7925</v>
      </c>
      <c r="X14" s="244" t="s">
        <v>182</v>
      </c>
      <c r="Y14" s="80">
        <v>0</v>
      </c>
    </row>
    <row r="15" spans="2:30" ht="16.5" customHeight="1" thickBot="1" x14ac:dyDescent="0.3">
      <c r="N15" s="116"/>
      <c r="O15" s="445" t="s">
        <v>178</v>
      </c>
      <c r="P15" s="446"/>
      <c r="Q15" s="234">
        <f>Y11+Y12+Y13+Y14+Y15</f>
        <v>30</v>
      </c>
      <c r="R15" s="117"/>
      <c r="S15" s="116"/>
      <c r="T15" s="116"/>
      <c r="U15" s="118"/>
      <c r="V15" s="117"/>
      <c r="W15" s="119"/>
      <c r="X15" s="249" t="s">
        <v>184</v>
      </c>
      <c r="Y15" s="80">
        <v>3</v>
      </c>
    </row>
    <row r="16" spans="2:30" ht="15.75" thickBot="1" x14ac:dyDescent="0.3">
      <c r="C16" s="440" t="s">
        <v>41</v>
      </c>
      <c r="D16" s="440"/>
      <c r="E16" s="440"/>
      <c r="F16" s="440"/>
      <c r="J16" s="80">
        <v>166</v>
      </c>
      <c r="O16" s="443" t="s">
        <v>2</v>
      </c>
      <c r="P16" s="444"/>
      <c r="Q16" s="235">
        <f>Q15+Q14</f>
        <v>250</v>
      </c>
      <c r="U16" s="110" t="s">
        <v>42</v>
      </c>
      <c r="V16" s="111">
        <f>+R14+V14</f>
        <v>153514.03950000001</v>
      </c>
      <c r="X16" s="286" t="s">
        <v>194</v>
      </c>
      <c r="Y16" s="250">
        <v>0</v>
      </c>
      <c r="Z16" s="251">
        <v>43616</v>
      </c>
    </row>
    <row r="17" spans="10:22" ht="15.75" customHeight="1" thickBot="1" x14ac:dyDescent="0.3">
      <c r="J17" s="80">
        <v>39</v>
      </c>
      <c r="N17" s="441" t="s">
        <v>195</v>
      </c>
      <c r="O17" s="442"/>
      <c r="P17" s="442"/>
      <c r="Q17" s="442"/>
      <c r="R17" s="442"/>
      <c r="U17" s="112" t="s">
        <v>89</v>
      </c>
      <c r="V17" s="113">
        <f>ROUND(V16/Q2,2)</f>
        <v>614.05999999999995</v>
      </c>
    </row>
    <row r="18" spans="10:22" x14ac:dyDescent="0.25">
      <c r="J18" s="80">
        <v>4</v>
      </c>
      <c r="N18" s="442"/>
      <c r="O18" s="442"/>
      <c r="P18" s="442"/>
      <c r="Q18" s="442"/>
      <c r="R18" s="442"/>
    </row>
    <row r="19" spans="10:22" x14ac:dyDescent="0.25">
      <c r="J19" s="80">
        <v>6</v>
      </c>
      <c r="N19" s="442"/>
      <c r="O19" s="442"/>
      <c r="P19" s="442"/>
      <c r="Q19" s="442"/>
      <c r="R19" s="442"/>
    </row>
    <row r="20" spans="10:22" ht="15.75" thickBot="1" x14ac:dyDescent="0.3">
      <c r="J20" s="80">
        <v>19</v>
      </c>
      <c r="N20" s="123" t="s">
        <v>88</v>
      </c>
      <c r="O20" s="124">
        <v>0.21</v>
      </c>
      <c r="P20" s="124"/>
    </row>
    <row r="21" spans="10:22" ht="30" x14ac:dyDescent="0.25">
      <c r="J21" s="80">
        <v>13</v>
      </c>
      <c r="N21" s="87" t="s">
        <v>43</v>
      </c>
      <c r="O21" s="83" t="s">
        <v>230</v>
      </c>
      <c r="P21" s="83"/>
      <c r="Q21" s="83" t="s">
        <v>231</v>
      </c>
      <c r="R21" s="84" t="s">
        <v>232</v>
      </c>
    </row>
    <row r="22" spans="10:22" ht="28.5" customHeight="1" thickBot="1" x14ac:dyDescent="0.3">
      <c r="N22" s="108"/>
      <c r="O22" s="216" t="s">
        <v>164</v>
      </c>
      <c r="P22" s="109"/>
      <c r="Q22" s="216" t="s">
        <v>165</v>
      </c>
      <c r="R22" s="217" t="s">
        <v>44</v>
      </c>
    </row>
  </sheetData>
  <mergeCells count="9">
    <mergeCell ref="AA4:AB4"/>
    <mergeCell ref="AC4:AD4"/>
    <mergeCell ref="W5:Y5"/>
    <mergeCell ref="E5:F5"/>
    <mergeCell ref="J5:K5"/>
    <mergeCell ref="C16:F16"/>
    <mergeCell ref="N17:R19"/>
    <mergeCell ref="O16:P16"/>
    <mergeCell ref="O15:P15"/>
  </mergeCells>
  <pageMargins left="0.7" right="0.7" top="0.75" bottom="0.75" header="0.3" footer="0.3"/>
  <pageSetup paperSize="9" scale="78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0"/>
  <sheetViews>
    <sheetView zoomScale="90" zoomScaleNormal="90" workbookViewId="0">
      <selection activeCell="N6" sqref="N6"/>
    </sheetView>
  </sheetViews>
  <sheetFormatPr baseColWidth="10" defaultColWidth="8.88671875" defaultRowHeight="15.75" x14ac:dyDescent="0.25"/>
  <cols>
    <col min="1" max="1" width="43.6640625" style="1" customWidth="1"/>
    <col min="2" max="2" width="9" style="2" customWidth="1"/>
    <col min="3" max="3" width="9.33203125" style="2" customWidth="1"/>
    <col min="4" max="4" width="8.88671875" style="3" customWidth="1"/>
    <col min="5" max="5" width="4.44140625" style="2" customWidth="1"/>
    <col min="6" max="6" width="14.6640625" style="2" customWidth="1"/>
    <col min="7" max="7" width="8.88671875" style="2"/>
    <col min="8" max="8" width="13.5546875" style="2" customWidth="1"/>
    <col min="9" max="9" width="10.33203125" style="2" customWidth="1"/>
    <col min="10" max="10" width="10" style="2" customWidth="1"/>
    <col min="11" max="12" width="8.44140625" style="2" customWidth="1"/>
    <col min="13" max="16384" width="8.88671875" style="2"/>
  </cols>
  <sheetData>
    <row r="1" spans="1:14" ht="16.5" thickBot="1" x14ac:dyDescent="0.3"/>
    <row r="2" spans="1:14" ht="15" customHeight="1" thickBot="1" x14ac:dyDescent="0.3">
      <c r="A2" s="465" t="s">
        <v>47</v>
      </c>
      <c r="B2" s="466"/>
      <c r="C2" s="466"/>
      <c r="D2" s="467"/>
      <c r="F2" s="52" t="s">
        <v>66</v>
      </c>
      <c r="H2" s="459" t="s">
        <v>72</v>
      </c>
      <c r="I2" s="460"/>
      <c r="J2" s="460"/>
      <c r="K2" s="460"/>
      <c r="L2" s="460"/>
    </row>
    <row r="3" spans="1:14" ht="15" customHeight="1" thickBot="1" x14ac:dyDescent="0.3">
      <c r="A3" s="4"/>
      <c r="B3" s="5"/>
      <c r="C3" s="5"/>
      <c r="D3" s="6"/>
      <c r="F3" s="53"/>
      <c r="H3" s="67" t="s">
        <v>49</v>
      </c>
      <c r="I3" s="26"/>
      <c r="J3" s="26" t="s">
        <v>26</v>
      </c>
      <c r="K3" s="26" t="s">
        <v>27</v>
      </c>
      <c r="L3" s="27" t="s">
        <v>28</v>
      </c>
    </row>
    <row r="4" spans="1:14" ht="15.75" customHeight="1" thickBot="1" x14ac:dyDescent="0.3">
      <c r="A4" s="456" t="s">
        <v>48</v>
      </c>
      <c r="B4" s="457"/>
      <c r="C4" s="457"/>
      <c r="D4" s="458"/>
      <c r="F4" s="60"/>
      <c r="H4" s="68" t="s">
        <v>38</v>
      </c>
      <c r="I4" s="19"/>
      <c r="J4" s="19">
        <v>20000</v>
      </c>
      <c r="K4" s="18">
        <f>C6</f>
        <v>8000</v>
      </c>
      <c r="L4" s="29">
        <f>D6</f>
        <v>3000</v>
      </c>
    </row>
    <row r="5" spans="1:14" ht="15.75" customHeight="1" x14ac:dyDescent="0.25">
      <c r="A5" s="25" t="s">
        <v>49</v>
      </c>
      <c r="B5" s="26" t="s">
        <v>26</v>
      </c>
      <c r="C5" s="26" t="s">
        <v>27</v>
      </c>
      <c r="D5" s="27" t="s">
        <v>28</v>
      </c>
      <c r="F5" s="51"/>
      <c r="H5" s="69" t="s">
        <v>73</v>
      </c>
      <c r="I5" s="73" t="s">
        <v>74</v>
      </c>
      <c r="J5" s="74">
        <v>2</v>
      </c>
      <c r="K5" s="43">
        <v>5</v>
      </c>
      <c r="L5" s="75">
        <v>5</v>
      </c>
      <c r="N5" s="2">
        <f>5*0.2*8000</f>
        <v>8000</v>
      </c>
    </row>
    <row r="6" spans="1:14" x14ac:dyDescent="0.25">
      <c r="A6" s="28" t="s">
        <v>38</v>
      </c>
      <c r="B6" s="19">
        <v>20000</v>
      </c>
      <c r="C6" s="18">
        <v>8000</v>
      </c>
      <c r="D6" s="29">
        <v>3000</v>
      </c>
      <c r="F6" s="50"/>
      <c r="H6" s="70"/>
      <c r="I6" s="132" t="s">
        <v>77</v>
      </c>
      <c r="J6" s="133">
        <v>0</v>
      </c>
      <c r="K6" s="133">
        <v>0</v>
      </c>
      <c r="L6" s="8">
        <v>0</v>
      </c>
    </row>
    <row r="7" spans="1:14" ht="16.5" thickBot="1" x14ac:dyDescent="0.3">
      <c r="A7" s="30" t="s">
        <v>34</v>
      </c>
      <c r="B7" s="31">
        <v>3</v>
      </c>
      <c r="C7" s="32">
        <v>6</v>
      </c>
      <c r="D7" s="14" t="s">
        <v>50</v>
      </c>
      <c r="F7" s="54"/>
      <c r="H7" s="72" t="s">
        <v>75</v>
      </c>
      <c r="I7" s="461">
        <f>J5*J4+K5*K4+L5*L4</f>
        <v>95000</v>
      </c>
      <c r="J7" s="461"/>
      <c r="K7" s="461"/>
      <c r="L7" s="462"/>
    </row>
    <row r="8" spans="1:14" ht="17.25" customHeight="1" thickBot="1" x14ac:dyDescent="0.3">
      <c r="A8" s="453" t="s">
        <v>53</v>
      </c>
      <c r="B8" s="454"/>
      <c r="C8" s="454"/>
      <c r="D8" s="455"/>
      <c r="F8" s="61"/>
      <c r="H8" s="71" t="s">
        <v>76</v>
      </c>
      <c r="I8" s="463">
        <f>J6*J4+K6*K4+L6*L4</f>
        <v>0</v>
      </c>
      <c r="J8" s="463"/>
      <c r="K8" s="463"/>
      <c r="L8" s="464">
        <f>J6*J4+K6*K4+L6*L4</f>
        <v>0</v>
      </c>
    </row>
    <row r="9" spans="1:14" ht="16.5" thickBot="1" x14ac:dyDescent="0.3">
      <c r="A9" s="34" t="s">
        <v>35</v>
      </c>
      <c r="B9" s="22">
        <v>4</v>
      </c>
      <c r="C9" s="23">
        <v>2</v>
      </c>
      <c r="D9" s="24">
        <v>1</v>
      </c>
      <c r="F9" s="55">
        <f>REV_Fees!O7</f>
        <v>775</v>
      </c>
    </row>
    <row r="10" spans="1:14" ht="16.5" thickBot="1" x14ac:dyDescent="0.3">
      <c r="A10" s="10" t="s">
        <v>67</v>
      </c>
      <c r="B10" s="21">
        <v>1</v>
      </c>
      <c r="C10" s="11">
        <v>2500</v>
      </c>
      <c r="D10" s="33" t="s">
        <v>36</v>
      </c>
      <c r="F10" s="50">
        <v>0</v>
      </c>
      <c r="H10" s="468" t="s">
        <v>68</v>
      </c>
      <c r="I10" s="469"/>
      <c r="J10" s="56">
        <f>B9*F9+F10+F18</f>
        <v>3250</v>
      </c>
      <c r="K10" s="56">
        <f>C9*F9+F18</f>
        <v>1700</v>
      </c>
      <c r="L10" s="57">
        <f>D9*F9+F18</f>
        <v>925</v>
      </c>
    </row>
    <row r="11" spans="1:14" x14ac:dyDescent="0.25">
      <c r="A11" s="10" t="s">
        <v>52</v>
      </c>
      <c r="B11" s="21">
        <v>1</v>
      </c>
      <c r="C11" s="36" t="s">
        <v>36</v>
      </c>
      <c r="D11" s="35" t="s">
        <v>36</v>
      </c>
      <c r="F11" s="50">
        <v>0</v>
      </c>
    </row>
    <row r="12" spans="1:14" ht="32.25" thickBot="1" x14ac:dyDescent="0.3">
      <c r="A12" s="9" t="s">
        <v>54</v>
      </c>
      <c r="B12" s="20">
        <v>4</v>
      </c>
      <c r="C12" s="7">
        <v>2</v>
      </c>
      <c r="D12" s="33" t="s">
        <v>36</v>
      </c>
      <c r="F12" s="54">
        <v>0</v>
      </c>
    </row>
    <row r="13" spans="1:14" ht="16.5" thickBot="1" x14ac:dyDescent="0.3">
      <c r="A13" s="453" t="s">
        <v>55</v>
      </c>
      <c r="B13" s="454"/>
      <c r="C13" s="454"/>
      <c r="D13" s="455"/>
      <c r="F13" s="61"/>
    </row>
    <row r="14" spans="1:14" ht="31.5" x14ac:dyDescent="0.25">
      <c r="A14" s="9" t="s">
        <v>57</v>
      </c>
      <c r="B14" s="20">
        <v>1</v>
      </c>
      <c r="C14" s="36" t="s">
        <v>56</v>
      </c>
      <c r="D14" s="33" t="s">
        <v>56</v>
      </c>
      <c r="F14" s="55">
        <v>0</v>
      </c>
    </row>
    <row r="15" spans="1:14" ht="33" customHeight="1" x14ac:dyDescent="0.25">
      <c r="A15" s="9" t="s">
        <v>71</v>
      </c>
      <c r="B15" s="7">
        <v>1</v>
      </c>
      <c r="C15" s="36" t="s">
        <v>36</v>
      </c>
      <c r="D15" s="33" t="s">
        <v>36</v>
      </c>
      <c r="F15" s="50">
        <v>0</v>
      </c>
    </row>
    <row r="16" spans="1:14" ht="33.6" customHeight="1" thickBot="1" x14ac:dyDescent="0.3">
      <c r="A16" s="9" t="s">
        <v>78</v>
      </c>
      <c r="B16" s="12">
        <v>1</v>
      </c>
      <c r="C16" s="36" t="s">
        <v>36</v>
      </c>
      <c r="D16" s="33" t="s">
        <v>36</v>
      </c>
      <c r="F16" s="54">
        <v>0</v>
      </c>
    </row>
    <row r="17" spans="1:6" ht="16.5" thickBot="1" x14ac:dyDescent="0.3">
      <c r="A17" s="453" t="s">
        <v>58</v>
      </c>
      <c r="B17" s="454"/>
      <c r="C17" s="454"/>
      <c r="D17" s="455"/>
      <c r="F17" s="61"/>
    </row>
    <row r="18" spans="1:6" ht="31.5" customHeight="1" x14ac:dyDescent="0.25">
      <c r="A18" s="37" t="s">
        <v>59</v>
      </c>
      <c r="B18" s="38">
        <v>1</v>
      </c>
      <c r="C18" s="38">
        <v>1</v>
      </c>
      <c r="D18" s="39">
        <v>1</v>
      </c>
      <c r="F18" s="55">
        <v>150</v>
      </c>
    </row>
    <row r="19" spans="1:6" x14ac:dyDescent="0.25">
      <c r="A19" s="9" t="s">
        <v>61</v>
      </c>
      <c r="B19" s="7">
        <v>1</v>
      </c>
      <c r="C19" s="7">
        <v>1</v>
      </c>
      <c r="D19" s="8">
        <v>1</v>
      </c>
      <c r="F19" s="50">
        <v>0</v>
      </c>
    </row>
    <row r="20" spans="1:6" x14ac:dyDescent="0.25">
      <c r="A20" s="9" t="s">
        <v>60</v>
      </c>
      <c r="B20" s="7">
        <v>1</v>
      </c>
      <c r="C20" s="36" t="s">
        <v>36</v>
      </c>
      <c r="D20" s="33" t="s">
        <v>36</v>
      </c>
      <c r="F20" s="50">
        <v>0</v>
      </c>
    </row>
    <row r="21" spans="1:6" x14ac:dyDescent="0.25">
      <c r="A21" s="9" t="s">
        <v>160</v>
      </c>
      <c r="B21" s="189">
        <v>1</v>
      </c>
      <c r="C21" s="36" t="s">
        <v>56</v>
      </c>
      <c r="D21" s="33" t="s">
        <v>36</v>
      </c>
      <c r="F21" s="54"/>
    </row>
    <row r="22" spans="1:6" ht="37.9" customHeight="1" thickBot="1" x14ac:dyDescent="0.3">
      <c r="A22" s="40" t="s">
        <v>62</v>
      </c>
      <c r="B22" s="32">
        <v>1</v>
      </c>
      <c r="C22" s="36" t="s">
        <v>36</v>
      </c>
      <c r="D22" s="33" t="s">
        <v>36</v>
      </c>
      <c r="F22" s="54">
        <v>0</v>
      </c>
    </row>
    <row r="23" spans="1:6" ht="16.5" thickBot="1" x14ac:dyDescent="0.3">
      <c r="A23" s="456" t="s">
        <v>65</v>
      </c>
      <c r="B23" s="457"/>
      <c r="C23" s="457"/>
      <c r="D23" s="458"/>
      <c r="F23" s="61"/>
    </row>
    <row r="24" spans="1:6" ht="63" x14ac:dyDescent="0.25">
      <c r="A24" s="44" t="s">
        <v>70</v>
      </c>
      <c r="B24" s="64" t="s">
        <v>63</v>
      </c>
      <c r="C24" s="45" t="s">
        <v>36</v>
      </c>
      <c r="D24" s="46" t="s">
        <v>36</v>
      </c>
      <c r="F24" s="58" t="s">
        <v>36</v>
      </c>
    </row>
    <row r="25" spans="1:6" ht="48" thickBot="1" x14ac:dyDescent="0.3">
      <c r="A25" s="47" t="s">
        <v>155</v>
      </c>
      <c r="B25" s="48" t="s">
        <v>51</v>
      </c>
      <c r="C25" s="62" t="s">
        <v>64</v>
      </c>
      <c r="D25" s="49" t="s">
        <v>51</v>
      </c>
      <c r="F25" s="59" t="s">
        <v>36</v>
      </c>
    </row>
    <row r="26" spans="1:6" ht="15" customHeight="1" x14ac:dyDescent="0.25">
      <c r="A26" s="63" t="s">
        <v>69</v>
      </c>
      <c r="B26" s="17"/>
      <c r="C26" s="17"/>
      <c r="D26" s="42"/>
    </row>
    <row r="27" spans="1:6" ht="15" customHeight="1" x14ac:dyDescent="0.25">
      <c r="A27" s="41"/>
      <c r="B27" s="17"/>
      <c r="C27" s="17"/>
      <c r="D27" s="42"/>
    </row>
    <row r="29" spans="1:6" x14ac:dyDescent="0.25">
      <c r="A29" s="2"/>
      <c r="D29" s="2"/>
    </row>
    <row r="30" spans="1:6" x14ac:dyDescent="0.25">
      <c r="A30" s="2"/>
      <c r="B30" s="3"/>
      <c r="C30" s="3"/>
    </row>
  </sheetData>
  <mergeCells count="10">
    <mergeCell ref="A17:D17"/>
    <mergeCell ref="A23:D23"/>
    <mergeCell ref="H2:L2"/>
    <mergeCell ref="I7:L7"/>
    <mergeCell ref="I8:L8"/>
    <mergeCell ref="A2:D2"/>
    <mergeCell ref="A4:D4"/>
    <mergeCell ref="A8:D8"/>
    <mergeCell ref="A13:D13"/>
    <mergeCell ref="H10:I10"/>
  </mergeCells>
  <pageMargins left="0.7" right="0.7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zoomScale="80" zoomScaleNormal="80" workbookViewId="0">
      <selection activeCell="K9" sqref="K9"/>
    </sheetView>
  </sheetViews>
  <sheetFormatPr baseColWidth="10" defaultColWidth="8.88671875" defaultRowHeight="15.75" x14ac:dyDescent="0.25"/>
  <cols>
    <col min="1" max="1" width="6.77734375" style="3" customWidth="1"/>
    <col min="2" max="2" width="11.44140625" style="3" customWidth="1"/>
    <col min="3" max="3" width="10.77734375" style="3" customWidth="1"/>
    <col min="4" max="4" width="10.88671875" style="3" customWidth="1"/>
    <col min="5" max="5" width="0.77734375" style="3" customWidth="1"/>
    <col min="6" max="6" width="11.6640625" style="3" customWidth="1"/>
    <col min="7" max="7" width="10.77734375" style="3" customWidth="1"/>
    <col min="8" max="8" width="11.77734375" style="3" customWidth="1"/>
    <col min="9" max="10" width="8.88671875" style="2"/>
    <col min="11" max="11" width="21" style="2" customWidth="1"/>
    <col min="12" max="12" width="19.109375" style="2" customWidth="1"/>
    <col min="13" max="16384" width="8.88671875" style="2"/>
  </cols>
  <sheetData>
    <row r="1" spans="1:13" x14ac:dyDescent="0.25">
      <c r="B1" s="474" t="s">
        <v>250</v>
      </c>
      <c r="C1" s="474"/>
      <c r="D1" s="474"/>
      <c r="F1" s="474" t="s">
        <v>249</v>
      </c>
      <c r="G1" s="474"/>
      <c r="H1" s="474"/>
    </row>
    <row r="2" spans="1:13" x14ac:dyDescent="0.25">
      <c r="A2" s="7"/>
      <c r="B2" s="121" t="s">
        <v>3</v>
      </c>
      <c r="C2" s="121"/>
      <c r="D2" s="121"/>
      <c r="E2" s="190"/>
      <c r="F2" s="121" t="s">
        <v>4</v>
      </c>
      <c r="G2" s="121"/>
      <c r="H2" s="121"/>
    </row>
    <row r="3" spans="1:13" ht="28.9" customHeight="1" x14ac:dyDescent="0.25">
      <c r="A3" s="7"/>
      <c r="B3" s="121" t="s">
        <v>9</v>
      </c>
      <c r="C3" s="121" t="s">
        <v>10</v>
      </c>
      <c r="D3" s="121" t="s">
        <v>11</v>
      </c>
      <c r="E3" s="190"/>
      <c r="F3" s="121" t="s">
        <v>9</v>
      </c>
      <c r="G3" s="121" t="s">
        <v>10</v>
      </c>
      <c r="H3" s="121" t="s">
        <v>11</v>
      </c>
      <c r="K3" s="353" t="s">
        <v>236</v>
      </c>
      <c r="L3" s="354" t="s">
        <v>237</v>
      </c>
    </row>
    <row r="4" spans="1:13" ht="31.5" x14ac:dyDescent="0.25">
      <c r="A4" s="15" t="s">
        <v>132</v>
      </c>
      <c r="B4" s="16"/>
      <c r="C4" s="7"/>
      <c r="D4" s="7"/>
      <c r="E4" s="191"/>
      <c r="F4" s="7"/>
      <c r="G4" s="7"/>
      <c r="H4" s="7"/>
      <c r="K4" s="355">
        <v>43922</v>
      </c>
      <c r="L4" s="354" t="s">
        <v>238</v>
      </c>
      <c r="M4"/>
    </row>
    <row r="5" spans="1:13" ht="30.6" customHeight="1" x14ac:dyDescent="0.25">
      <c r="A5" s="15" t="s">
        <v>133</v>
      </c>
      <c r="B5" s="218" t="s">
        <v>167</v>
      </c>
      <c r="C5" s="7"/>
      <c r="D5" s="7"/>
      <c r="E5" s="191"/>
      <c r="G5" s="7"/>
      <c r="H5" s="7"/>
      <c r="K5" s="353" t="s">
        <v>239</v>
      </c>
      <c r="L5" s="354" t="s">
        <v>240</v>
      </c>
      <c r="M5"/>
    </row>
    <row r="6" spans="1:13" ht="31.5" x14ac:dyDescent="0.25">
      <c r="A6" s="15" t="s">
        <v>134</v>
      </c>
      <c r="B6" s="16" t="s">
        <v>5</v>
      </c>
      <c r="C6" s="207"/>
      <c r="D6" s="207"/>
      <c r="E6" s="192"/>
      <c r="F6" s="16" t="s">
        <v>7</v>
      </c>
      <c r="G6" s="7"/>
      <c r="H6" s="7"/>
      <c r="K6" s="355">
        <v>44044</v>
      </c>
      <c r="L6" s="354" t="s">
        <v>241</v>
      </c>
    </row>
    <row r="7" spans="1:13" ht="31.5" x14ac:dyDescent="0.25">
      <c r="A7" s="15" t="s">
        <v>135</v>
      </c>
      <c r="B7" s="16" t="s">
        <v>5</v>
      </c>
      <c r="C7" s="207"/>
      <c r="D7" s="207"/>
      <c r="E7" s="192"/>
      <c r="F7" s="16" t="s">
        <v>7</v>
      </c>
      <c r="G7" s="16"/>
      <c r="H7" s="16"/>
      <c r="K7" s="353" t="s">
        <v>242</v>
      </c>
      <c r="L7" s="354" t="s">
        <v>243</v>
      </c>
      <c r="M7"/>
    </row>
    <row r="8" spans="1:13" ht="31.5" x14ac:dyDescent="0.25">
      <c r="A8" s="15" t="s">
        <v>136</v>
      </c>
      <c r="B8" s="193" t="s">
        <v>13</v>
      </c>
      <c r="C8" s="193" t="s">
        <v>13</v>
      </c>
      <c r="D8" s="193" t="s">
        <v>13</v>
      </c>
      <c r="E8" s="191"/>
      <c r="F8" s="193" t="s">
        <v>13</v>
      </c>
      <c r="G8" s="193" t="s">
        <v>13</v>
      </c>
      <c r="H8" s="193" t="s">
        <v>13</v>
      </c>
      <c r="K8" s="353" t="s">
        <v>244</v>
      </c>
      <c r="L8" s="354" t="s">
        <v>245</v>
      </c>
      <c r="M8"/>
    </row>
    <row r="9" spans="1:13" ht="31.5" x14ac:dyDescent="0.25">
      <c r="A9" s="15" t="s">
        <v>137</v>
      </c>
      <c r="B9" s="16" t="s">
        <v>12</v>
      </c>
      <c r="C9" s="16" t="s">
        <v>12</v>
      </c>
      <c r="D9" s="16" t="s">
        <v>12</v>
      </c>
      <c r="E9" s="192"/>
      <c r="F9" s="16" t="s">
        <v>12</v>
      </c>
      <c r="G9" s="16" t="s">
        <v>12</v>
      </c>
      <c r="H9" s="16" t="s">
        <v>12</v>
      </c>
      <c r="K9" s="353" t="s">
        <v>252</v>
      </c>
      <c r="L9" s="354" t="s">
        <v>246</v>
      </c>
      <c r="M9"/>
    </row>
    <row r="10" spans="1:13" ht="31.5" x14ac:dyDescent="0.25">
      <c r="A10" s="15" t="s">
        <v>138</v>
      </c>
      <c r="B10" s="16" t="s">
        <v>12</v>
      </c>
      <c r="C10" s="16" t="s">
        <v>12</v>
      </c>
      <c r="D10" s="16" t="s">
        <v>12</v>
      </c>
      <c r="E10" s="192"/>
      <c r="F10" s="16" t="s">
        <v>12</v>
      </c>
      <c r="G10" s="16" t="s">
        <v>12</v>
      </c>
      <c r="H10" s="16" t="s">
        <v>12</v>
      </c>
      <c r="K10" s="353" t="s">
        <v>251</v>
      </c>
      <c r="L10" s="354" t="s">
        <v>247</v>
      </c>
      <c r="M10"/>
    </row>
    <row r="11" spans="1:13" ht="31.5" x14ac:dyDescent="0.25">
      <c r="A11" s="15" t="s">
        <v>139</v>
      </c>
      <c r="B11" s="16" t="s">
        <v>12</v>
      </c>
      <c r="C11" s="16" t="s">
        <v>12</v>
      </c>
      <c r="D11" s="16" t="s">
        <v>12</v>
      </c>
      <c r="E11" s="192"/>
      <c r="F11" s="16" t="s">
        <v>12</v>
      </c>
      <c r="G11" s="16" t="s">
        <v>12</v>
      </c>
      <c r="H11" s="16" t="s">
        <v>12</v>
      </c>
    </row>
    <row r="12" spans="1:13" ht="31.5" x14ac:dyDescent="0.25">
      <c r="A12" s="15" t="s">
        <v>140</v>
      </c>
      <c r="B12" s="474" t="s">
        <v>0</v>
      </c>
      <c r="C12" s="474"/>
      <c r="D12" s="474"/>
      <c r="E12" s="191"/>
      <c r="F12" s="474" t="s">
        <v>0</v>
      </c>
      <c r="G12" s="474"/>
      <c r="H12" s="474"/>
    </row>
    <row r="13" spans="1:13" ht="33" customHeight="1" x14ac:dyDescent="0.25">
      <c r="A13" s="15" t="s">
        <v>141</v>
      </c>
      <c r="B13" s="474" t="s">
        <v>0</v>
      </c>
      <c r="C13" s="474"/>
      <c r="D13" s="474"/>
      <c r="E13" s="191"/>
      <c r="F13" s="474" t="s">
        <v>0</v>
      </c>
      <c r="G13" s="474"/>
      <c r="H13" s="474"/>
    </row>
    <row r="14" spans="1:13" ht="31.5" x14ac:dyDescent="0.25">
      <c r="A14" s="200" t="s">
        <v>142</v>
      </c>
      <c r="B14" s="16" t="s">
        <v>12</v>
      </c>
      <c r="C14" s="16" t="s">
        <v>12</v>
      </c>
      <c r="D14" s="16" t="s">
        <v>12</v>
      </c>
      <c r="E14" s="192"/>
      <c r="F14" s="16" t="s">
        <v>12</v>
      </c>
      <c r="G14" s="16" t="s">
        <v>12</v>
      </c>
      <c r="H14" s="16" t="s">
        <v>12</v>
      </c>
    </row>
    <row r="15" spans="1:13" ht="31.5" x14ac:dyDescent="0.25">
      <c r="A15" s="15" t="s">
        <v>143</v>
      </c>
      <c r="B15" s="16" t="s">
        <v>12</v>
      </c>
      <c r="C15" s="16" t="s">
        <v>12</v>
      </c>
      <c r="D15" s="16" t="s">
        <v>12</v>
      </c>
      <c r="E15" s="192"/>
      <c r="F15" s="16" t="s">
        <v>12</v>
      </c>
      <c r="G15" s="16" t="s">
        <v>12</v>
      </c>
      <c r="H15" s="16" t="s">
        <v>12</v>
      </c>
    </row>
    <row r="16" spans="1:13" ht="31.5" x14ac:dyDescent="0.25">
      <c r="A16" s="15" t="s">
        <v>144</v>
      </c>
      <c r="B16" s="16" t="s">
        <v>12</v>
      </c>
      <c r="C16" s="16" t="s">
        <v>12</v>
      </c>
      <c r="D16" s="16" t="s">
        <v>12</v>
      </c>
      <c r="E16" s="192"/>
      <c r="F16" s="16" t="s">
        <v>12</v>
      </c>
      <c r="G16" s="16" t="s">
        <v>12</v>
      </c>
      <c r="H16" s="16" t="s">
        <v>12</v>
      </c>
    </row>
    <row r="17" spans="1:9" ht="31.5" x14ac:dyDescent="0.25">
      <c r="A17" s="15" t="s">
        <v>145</v>
      </c>
      <c r="B17" s="193" t="s">
        <v>13</v>
      </c>
      <c r="C17" s="193" t="s">
        <v>13</v>
      </c>
      <c r="D17" s="193" t="s">
        <v>13</v>
      </c>
      <c r="E17" s="191"/>
      <c r="F17" s="193" t="s">
        <v>13</v>
      </c>
      <c r="G17" s="193" t="s">
        <v>13</v>
      </c>
      <c r="H17" s="193" t="s">
        <v>13</v>
      </c>
    </row>
    <row r="18" spans="1:9" ht="31.5" x14ac:dyDescent="0.25">
      <c r="A18" s="15" t="s">
        <v>146</v>
      </c>
      <c r="B18" s="16" t="s">
        <v>6</v>
      </c>
      <c r="C18" s="16"/>
      <c r="D18" s="16"/>
      <c r="E18" s="191"/>
      <c r="F18" s="16" t="s">
        <v>8</v>
      </c>
      <c r="G18" s="7"/>
      <c r="H18" s="7"/>
    </row>
    <row r="19" spans="1:9" ht="31.5" x14ac:dyDescent="0.25">
      <c r="A19" s="15" t="s">
        <v>147</v>
      </c>
      <c r="B19" s="16" t="s">
        <v>6</v>
      </c>
      <c r="C19" s="194"/>
      <c r="D19" s="194"/>
      <c r="E19" s="191"/>
      <c r="F19" s="16" t="s">
        <v>8</v>
      </c>
      <c r="G19" s="7"/>
      <c r="H19" s="7"/>
    </row>
    <row r="20" spans="1:9" ht="31.5" x14ac:dyDescent="0.25">
      <c r="A20" s="15" t="s">
        <v>148</v>
      </c>
      <c r="B20" s="481"/>
      <c r="C20" s="481"/>
      <c r="D20" s="481"/>
      <c r="E20" s="191"/>
      <c r="F20" s="16" t="s">
        <v>39</v>
      </c>
      <c r="G20" s="195"/>
      <c r="H20" s="195"/>
    </row>
    <row r="21" spans="1:9" ht="31.5" x14ac:dyDescent="0.25">
      <c r="A21" s="15" t="s">
        <v>149</v>
      </c>
      <c r="B21" s="481"/>
      <c r="C21" s="481"/>
      <c r="D21" s="481"/>
      <c r="E21" s="196"/>
      <c r="F21" s="197"/>
      <c r="G21" s="197"/>
      <c r="H21" s="197"/>
      <c r="I21" s="17"/>
    </row>
    <row r="22" spans="1:9" ht="31.5" x14ac:dyDescent="0.25">
      <c r="A22" s="15" t="s">
        <v>150</v>
      </c>
      <c r="B22" s="481"/>
      <c r="C22" s="481"/>
      <c r="D22" s="481"/>
      <c r="E22" s="196"/>
      <c r="F22" s="42"/>
      <c r="G22" s="42"/>
      <c r="H22" s="42"/>
    </row>
    <row r="23" spans="1:9" ht="31.5" x14ac:dyDescent="0.25">
      <c r="A23" s="15" t="s">
        <v>151</v>
      </c>
      <c r="B23" s="481"/>
      <c r="C23" s="481"/>
      <c r="D23" s="481"/>
      <c r="E23" s="196"/>
      <c r="F23" s="42"/>
      <c r="G23" s="41"/>
      <c r="H23" s="42"/>
    </row>
    <row r="24" spans="1:9" ht="31.5" x14ac:dyDescent="0.25">
      <c r="A24" s="15" t="s">
        <v>154</v>
      </c>
      <c r="B24" s="482" t="s">
        <v>14</v>
      </c>
      <c r="C24" s="482"/>
      <c r="D24" s="482"/>
      <c r="E24" s="196"/>
      <c r="F24" s="42"/>
      <c r="G24" s="42"/>
      <c r="H24" s="42"/>
    </row>
    <row r="25" spans="1:9" ht="31.5" x14ac:dyDescent="0.25">
      <c r="A25" s="15" t="s">
        <v>152</v>
      </c>
      <c r="B25" s="482" t="s">
        <v>14</v>
      </c>
      <c r="C25" s="482"/>
      <c r="D25" s="482"/>
      <c r="E25" s="196"/>
      <c r="F25" s="42"/>
      <c r="G25" s="42"/>
      <c r="H25" s="42"/>
    </row>
    <row r="26" spans="1:9" ht="31.5" customHeight="1" x14ac:dyDescent="0.25">
      <c r="A26" s="470" t="s">
        <v>153</v>
      </c>
      <c r="B26" s="475" t="s">
        <v>20</v>
      </c>
      <c r="C26" s="476"/>
      <c r="D26" s="476"/>
      <c r="E26" s="198"/>
      <c r="F26" s="42"/>
      <c r="G26" s="42"/>
      <c r="H26" s="42"/>
    </row>
    <row r="27" spans="1:9" x14ac:dyDescent="0.25">
      <c r="A27" s="471"/>
      <c r="B27" s="477"/>
      <c r="C27" s="478"/>
      <c r="D27" s="478"/>
      <c r="E27" s="198"/>
    </row>
    <row r="28" spans="1:9" x14ac:dyDescent="0.25">
      <c r="A28" s="471"/>
      <c r="B28" s="477"/>
      <c r="C28" s="478"/>
      <c r="D28" s="478"/>
      <c r="E28" s="198"/>
    </row>
    <row r="29" spans="1:9" x14ac:dyDescent="0.25">
      <c r="A29" s="471"/>
      <c r="B29" s="477"/>
      <c r="C29" s="478"/>
      <c r="D29" s="478"/>
      <c r="E29" s="198"/>
    </row>
    <row r="30" spans="1:9" x14ac:dyDescent="0.25">
      <c r="A30" s="471"/>
      <c r="B30" s="477"/>
      <c r="C30" s="478"/>
      <c r="D30" s="478"/>
      <c r="E30" s="198"/>
    </row>
    <row r="31" spans="1:9" x14ac:dyDescent="0.25">
      <c r="A31" s="472"/>
      <c r="B31" s="479"/>
      <c r="C31" s="480"/>
      <c r="D31" s="480"/>
      <c r="E31" s="198"/>
    </row>
    <row r="33" spans="2:8" x14ac:dyDescent="0.25">
      <c r="B33" s="199" t="s">
        <v>131</v>
      </c>
      <c r="F33" s="199" t="s">
        <v>131</v>
      </c>
    </row>
    <row r="35" spans="2:8" ht="36.6" customHeight="1" x14ac:dyDescent="0.25">
      <c r="B35" s="473" t="s">
        <v>46</v>
      </c>
      <c r="C35" s="473"/>
      <c r="D35" s="473"/>
      <c r="E35" s="473"/>
      <c r="F35" s="473"/>
      <c r="G35" s="473"/>
      <c r="H35" s="473"/>
    </row>
  </sheetData>
  <mergeCells count="15">
    <mergeCell ref="A26:A31"/>
    <mergeCell ref="B35:H35"/>
    <mergeCell ref="B1:D1"/>
    <mergeCell ref="F1:H1"/>
    <mergeCell ref="B12:D12"/>
    <mergeCell ref="B13:D13"/>
    <mergeCell ref="B26:D31"/>
    <mergeCell ref="B20:D20"/>
    <mergeCell ref="B21:D21"/>
    <mergeCell ref="B23:D23"/>
    <mergeCell ref="B24:D24"/>
    <mergeCell ref="B25:D25"/>
    <mergeCell ref="B22:D22"/>
    <mergeCell ref="F12:H12"/>
    <mergeCell ref="F13:H13"/>
  </mergeCells>
  <pageMargins left="0.7" right="0.7" top="0.75" bottom="0.75" header="0.3" footer="0.3"/>
  <pageSetup paperSize="9" scale="77" orientation="portrait" r:id="rId1"/>
  <colBreaks count="1" manualBreakCount="1">
    <brk id="9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5</vt:i4>
      </vt:variant>
    </vt:vector>
  </HeadingPairs>
  <TitlesOfParts>
    <vt:vector size="10" baseType="lpstr">
      <vt:lpstr>OVERVIEW_Budget</vt:lpstr>
      <vt:lpstr>EXP_Total Expenses</vt:lpstr>
      <vt:lpstr>REV_Fees</vt:lpstr>
      <vt:lpstr>REV_Sponsoring</vt:lpstr>
      <vt:lpstr>MISC_Congress_Schedule</vt:lpstr>
      <vt:lpstr>'EXP_Total Expenses'!Druckbereich</vt:lpstr>
      <vt:lpstr>MISC_Congress_Schedule!Druckbereich</vt:lpstr>
      <vt:lpstr>OVERVIEW_Budget!Druckbereich</vt:lpstr>
      <vt:lpstr>REV_Fees!Druckbereich</vt:lpstr>
      <vt:lpstr>REV_Sponsoring!Druckbereich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Manuel Mendinhos</dc:creator>
  <cp:lastModifiedBy>Martin Oymanns</cp:lastModifiedBy>
  <cp:lastPrinted>2019-06-19T09:10:26Z</cp:lastPrinted>
  <dcterms:created xsi:type="dcterms:W3CDTF">2017-12-20T20:08:56Z</dcterms:created>
  <dcterms:modified xsi:type="dcterms:W3CDTF">2020-03-26T07:38:22Z</dcterms:modified>
</cp:coreProperties>
</file>